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DQI/Smash/"/>
    </mc:Choice>
  </mc:AlternateContent>
  <xr:revisionPtr revIDLastSave="0" documentId="13_ncr:1_{349C759B-1FB2-2A45-9763-1A0F9681F244}" xr6:coauthVersionLast="46" xr6:coauthVersionMax="46" xr10:uidLastSave="{00000000-0000-0000-0000-000000000000}"/>
  <bookViews>
    <workbookView showSheetTabs="0" xWindow="1240" yWindow="1340" windowWidth="37460" windowHeight="20440" xr2:uid="{00000000-000D-0000-FFFF-FFFF00000000}"/>
  </bookViews>
  <sheets>
    <sheet name="SMart Audit Sampling Hel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27" i="1"/>
  <c r="D31" i="1" l="1"/>
  <c r="E6" i="1" l="1"/>
  <c r="G41" i="1"/>
  <c r="G31" i="1"/>
  <c r="G32" i="1"/>
  <c r="G33" i="1"/>
  <c r="G34" i="1"/>
  <c r="G35" i="1"/>
  <c r="G36" i="1"/>
  <c r="G37" i="1"/>
  <c r="G38" i="1"/>
  <c r="G39" i="1"/>
  <c r="G40" i="1"/>
  <c r="G26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M12" i="1" l="1"/>
  <c r="K12" i="1" s="1"/>
  <c r="M13" i="1"/>
  <c r="K13" i="1" s="1"/>
  <c r="M14" i="1"/>
  <c r="K14" i="1" s="1"/>
  <c r="M15" i="1"/>
  <c r="K15" i="1" s="1"/>
  <c r="M16" i="1"/>
  <c r="K16" i="1" s="1"/>
  <c r="M17" i="1"/>
  <c r="K17" i="1" s="1"/>
  <c r="L16" i="1" l="1"/>
  <c r="L13" i="1" l="1"/>
  <c r="L14" i="1"/>
  <c r="L15" i="1"/>
  <c r="L17" i="1"/>
  <c r="D12" i="1"/>
  <c r="A28" i="1"/>
  <c r="A29" i="1" s="1"/>
  <c r="A30" i="1" s="1"/>
  <c r="A31" i="1" s="1"/>
  <c r="A32" i="1" s="1"/>
  <c r="A33" i="1" s="1"/>
  <c r="E41" i="1"/>
  <c r="E40" i="1"/>
  <c r="E39" i="1"/>
  <c r="E38" i="1"/>
  <c r="E37" i="1"/>
  <c r="E36" i="1"/>
  <c r="E35" i="1"/>
  <c r="E34" i="1"/>
  <c r="E33" i="1"/>
  <c r="E32" i="1"/>
  <c r="E31" i="1"/>
  <c r="E30" i="1"/>
  <c r="G30" i="1" s="1"/>
  <c r="E29" i="1"/>
  <c r="G29" i="1" s="1"/>
  <c r="E28" i="1"/>
  <c r="G28" i="1" s="1"/>
  <c r="A34" i="1" l="1"/>
  <c r="E27" i="1"/>
  <c r="G27" i="1" s="1"/>
  <c r="A35" i="1" l="1"/>
  <c r="D42" i="1"/>
  <c r="A36" i="1" l="1"/>
  <c r="B42" i="1"/>
  <c r="C42" i="1"/>
  <c r="M2" i="1"/>
  <c r="K2" i="1" s="1"/>
  <c r="M3" i="1"/>
  <c r="K3" i="1" s="1"/>
  <c r="M4" i="1"/>
  <c r="K4" i="1" s="1"/>
  <c r="M5" i="1"/>
  <c r="K5" i="1" s="1"/>
  <c r="M6" i="1"/>
  <c r="K6" i="1" s="1"/>
  <c r="M7" i="1"/>
  <c r="K7" i="1" s="1"/>
  <c r="M8" i="1"/>
  <c r="K8" i="1" s="1"/>
  <c r="M9" i="1"/>
  <c r="K9" i="1" s="1"/>
  <c r="M10" i="1"/>
  <c r="K10" i="1" s="1"/>
  <c r="M11" i="1"/>
  <c r="K11" i="1" s="1"/>
  <c r="L12" i="1" s="1"/>
  <c r="M1" i="1"/>
  <c r="K1" i="1" s="1"/>
  <c r="A37" i="1" l="1"/>
  <c r="E42" i="1"/>
  <c r="A38" i="1" l="1"/>
  <c r="A39" i="1" s="1"/>
  <c r="A40" i="1" s="1"/>
  <c r="A41" i="1" s="1"/>
  <c r="L1" i="1"/>
  <c r="L9" i="1"/>
  <c r="L10" i="1"/>
  <c r="L2" i="1"/>
  <c r="L7" i="1"/>
  <c r="L4" i="1"/>
  <c r="L5" i="1"/>
  <c r="L11" i="1"/>
  <c r="L8" i="1"/>
  <c r="L3" i="1"/>
  <c r="L6" i="1"/>
  <c r="I1" i="1" l="1"/>
  <c r="D8" i="1" s="1"/>
  <c r="F7" i="1" s="1"/>
  <c r="H6" i="1"/>
  <c r="G6" i="1" s="1"/>
  <c r="H7" i="1" l="1"/>
  <c r="H9" i="1" s="1"/>
  <c r="G7" i="1" l="1"/>
  <c r="D14" i="1" l="1"/>
  <c r="D23" i="1" s="1"/>
  <c r="H31" i="1" l="1"/>
  <c r="H39" i="1"/>
  <c r="F34" i="1"/>
  <c r="F27" i="1"/>
  <c r="H32" i="1"/>
  <c r="H40" i="1"/>
  <c r="F35" i="1"/>
  <c r="H33" i="1"/>
  <c r="H41" i="1"/>
  <c r="F28" i="1"/>
  <c r="F36" i="1"/>
  <c r="F31" i="1"/>
  <c r="H37" i="1"/>
  <c r="F40" i="1"/>
  <c r="H30" i="1"/>
  <c r="F33" i="1"/>
  <c r="H34" i="1"/>
  <c r="H27" i="1"/>
  <c r="F29" i="1"/>
  <c r="F37" i="1"/>
  <c r="H35" i="1"/>
  <c r="F30" i="1"/>
  <c r="F38" i="1"/>
  <c r="H28" i="1"/>
  <c r="H36" i="1"/>
  <c r="F39" i="1"/>
  <c r="H29" i="1"/>
  <c r="F32" i="1"/>
  <c r="H38" i="1"/>
  <c r="F41" i="1"/>
  <c r="H26" i="1"/>
  <c r="D15" i="1"/>
  <c r="H15" i="1" s="1"/>
  <c r="H42" i="1" l="1"/>
  <c r="D17" i="1" s="1"/>
  <c r="F42" i="1"/>
  <c r="D16" i="1" s="1"/>
  <c r="D20" i="1" l="1"/>
  <c r="D18" i="1"/>
  <c r="D21" i="1" s="1"/>
  <c r="H21" i="1" s="1"/>
  <c r="H16" i="1"/>
  <c r="D24" i="1"/>
  <c r="E24" i="1" s="1"/>
  <c r="H17" i="1"/>
  <c r="D19" i="1"/>
  <c r="H19" i="1" s="1"/>
  <c r="H24" i="1" l="1"/>
</calcChain>
</file>

<file path=xl/sharedStrings.xml><?xml version="1.0" encoding="utf-8"?>
<sst xmlns="http://schemas.openxmlformats.org/spreadsheetml/2006/main" count="53" uniqueCount="52">
  <si>
    <t>interval</t>
  </si>
  <si>
    <t>R factor</t>
  </si>
  <si>
    <t>SMart Audit Sampling Helpfile SMASH</t>
  </si>
  <si>
    <t>Interval</t>
  </si>
  <si>
    <t>AICPA Audit Sampling Guide app C</t>
  </si>
  <si>
    <t>Expansion</t>
  </si>
  <si>
    <t>top stratum</t>
  </si>
  <si>
    <t>Controleparameters</t>
  </si>
  <si>
    <t>Verantwoord bedrag</t>
  </si>
  <si>
    <t>disclaimer op steekproeven.eu</t>
  </si>
  <si>
    <t>V21NL 23-03-2021</t>
  </si>
  <si>
    <t>(Uitvoerings-)Materialiteit voor deze populatie</t>
  </si>
  <si>
    <t>Toelaatbare Afwijking (= D3 als D7&gt;0)</t>
  </si>
  <si>
    <t>Steekproefopzet</t>
  </si>
  <si>
    <t>betrouwbaarheid</t>
  </si>
  <si>
    <t>steekproefomvang</t>
  </si>
  <si>
    <t>Vermoedelijk foutbedrag (0 als D4&lt;D3)</t>
  </si>
  <si>
    <t>Verwachte foutfractie in steekproef</t>
  </si>
  <si>
    <t>Selectie</t>
  </si>
  <si>
    <t>Systematisch (1) of Cell sampling (2) ?</t>
  </si>
  <si>
    <t>Evaluatie</t>
  </si>
  <si>
    <t>Gerealiseerde populatie</t>
  </si>
  <si>
    <t>Uiteindelijke steekproefomvang</t>
  </si>
  <si>
    <t>totaal van positieve bedragen waaruit steekproef is getrokken</t>
  </si>
  <si>
    <t xml:space="preserve">is er een verschil met interval bij opzet? Komt dat door afronding? </t>
  </si>
  <si>
    <t>Betrouwbaarheid voor evaluatie</t>
  </si>
  <si>
    <t xml:space="preserve">alleen 95% als de controlemix ongewijzgd is, ook als er fouten zijn gevonden </t>
  </si>
  <si>
    <t>Interval voor evaluatie</t>
  </si>
  <si>
    <t>Conclusie</t>
  </si>
  <si>
    <t>Minimale afwijking</t>
  </si>
  <si>
    <t>Geprojecteerde afwijking</t>
  </si>
  <si>
    <t>Maximale afwijking</t>
  </si>
  <si>
    <t>Voldoende werk om goed te keuren?</t>
  </si>
  <si>
    <t>Onnauwkeurgheid</t>
  </si>
  <si>
    <t xml:space="preserve">Maximale minus Geprojecteerde Afwijking </t>
  </si>
  <si>
    <t>Voldoende werk om correctie te schatten?</t>
  </si>
  <si>
    <t>vergelijk  Maximale Afwijking met Uitvoeringsmaterialiteit</t>
  </si>
  <si>
    <t>vergelijk Onnauwkeurigheid met Uitvoeringsmaterialiteit</t>
  </si>
  <si>
    <t xml:space="preserve">Noodzakelijke correctie </t>
  </si>
  <si>
    <t>Steekproef uitbreiding</t>
  </si>
  <si>
    <t xml:space="preserve">uitbreding van de steekproef kan niet leiden tot goedkeuring bij gevraagde betrouwbaarheid </t>
  </si>
  <si>
    <t>Verwacht aantal extra afwijkingen</t>
  </si>
  <si>
    <t>Nieuwe onnauwkeurigheid</t>
  </si>
  <si>
    <t>Gecontroleerd (soll)</t>
  </si>
  <si>
    <t>Verschil (afwijking)</t>
  </si>
  <si>
    <t>foutfractie</t>
  </si>
  <si>
    <t>Afwijking</t>
  </si>
  <si>
    <t>Geprojecteerde</t>
  </si>
  <si>
    <t>Saldo van positieve en mogelijk negatieve bedragen</t>
  </si>
  <si>
    <t>ruimte voor aantekeningen</t>
  </si>
  <si>
    <t>Sorteer uitkomsten van hoogste naar laagste positieve afwijking en voeg top stratum resultaten toe aan het einde</t>
  </si>
  <si>
    <t>Geboekt (ist)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</si>
</sst>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9"/>
      <color indexed="12"/>
      <name val="MS Sans Serif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MS Sans Serif"/>
      <family val="2"/>
    </font>
    <font>
      <sz val="9"/>
      <color rgb="FFFF0000"/>
      <name val="MS Sans Serif"/>
    </font>
    <font>
      <sz val="10"/>
      <color theme="4" tint="0.59996337778862885"/>
      <name val="MS Sans Serif"/>
      <family val="2"/>
    </font>
    <font>
      <sz val="10"/>
      <color rgb="FFFF0000"/>
      <name val="MS Sans Serif"/>
    </font>
    <font>
      <u/>
      <sz val="9"/>
      <color rgb="FFFF0000"/>
      <name val="MS Sans Serif"/>
    </font>
    <font>
      <sz val="10"/>
      <color theme="3" tint="0.39994506668294322"/>
      <name val="MS Sans Serif"/>
      <family val="2"/>
    </font>
    <font>
      <sz val="12"/>
      <color theme="3" tint="0.399945066682943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</cellStyleXfs>
  <cellXfs count="133">
    <xf numFmtId="0" fontId="0" fillId="0" borderId="0" xfId="0"/>
    <xf numFmtId="2" fontId="0" fillId="2" borderId="6" xfId="0" applyNumberFormat="1" applyFill="1" applyBorder="1" applyAlignment="1" applyProtection="1">
      <alignment horizontal="center"/>
      <protection hidden="1"/>
    </xf>
    <xf numFmtId="2" fontId="0" fillId="2" borderId="10" xfId="0" applyNumberFormat="1" applyFill="1" applyBorder="1" applyAlignment="1" applyProtection="1">
      <alignment horizontal="center"/>
      <protection hidden="1"/>
    </xf>
    <xf numFmtId="2" fontId="0" fillId="2" borderId="21" xfId="0" applyNumberFormat="1" applyFill="1" applyBorder="1" applyAlignment="1" applyProtection="1">
      <alignment horizontal="center"/>
      <protection hidden="1"/>
    </xf>
    <xf numFmtId="0" fontId="0" fillId="2" borderId="28" xfId="0" applyFill="1" applyBorder="1" applyProtection="1">
      <protection hidden="1"/>
    </xf>
    <xf numFmtId="0" fontId="0" fillId="2" borderId="5" xfId="0" applyFill="1" applyBorder="1" applyProtection="1">
      <protection hidden="1"/>
    </xf>
    <xf numFmtId="9" fontId="0" fillId="2" borderId="5" xfId="0" applyNumberForma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9" fontId="0" fillId="2" borderId="20" xfId="0" applyNumberFormat="1" applyFill="1" applyBorder="1" applyProtection="1"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3" borderId="26" xfId="0" applyFill="1" applyBorder="1" applyAlignment="1" applyProtection="1">
      <alignment horizontal="right"/>
      <protection hidden="1"/>
    </xf>
    <xf numFmtId="0" fontId="1" fillId="3" borderId="30" xfId="0" applyFont="1" applyFill="1" applyBorder="1" applyAlignment="1" applyProtection="1">
      <alignment horizontal="left"/>
      <protection hidden="1"/>
    </xf>
    <xf numFmtId="0" fontId="2" fillId="3" borderId="22" xfId="0" quotePrefix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3" borderId="22" xfId="0" applyFont="1" applyFill="1" applyBorder="1" applyAlignment="1" applyProtection="1">
      <alignment horizontal="right"/>
      <protection hidden="1"/>
    </xf>
    <xf numFmtId="0" fontId="2" fillId="3" borderId="24" xfId="0" applyFont="1" applyFill="1" applyBorder="1" applyAlignment="1" applyProtection="1">
      <alignment horizontal="right"/>
      <protection hidden="1"/>
    </xf>
    <xf numFmtId="0" fontId="2" fillId="3" borderId="15" xfId="0" applyFont="1" applyFill="1" applyBorder="1" applyAlignment="1" applyProtection="1">
      <alignment horizontal="right"/>
      <protection hidden="1"/>
    </xf>
    <xf numFmtId="0" fontId="2" fillId="3" borderId="13" xfId="0" applyFont="1" applyFill="1" applyBorder="1" applyAlignment="1" applyProtection="1">
      <alignment horizontal="right"/>
      <protection hidden="1"/>
    </xf>
    <xf numFmtId="0" fontId="2" fillId="3" borderId="13" xfId="0" quotePrefix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Alignment="1" applyProtection="1">
      <alignment horizontal="right"/>
      <protection hidden="1"/>
    </xf>
    <xf numFmtId="0" fontId="2" fillId="3" borderId="10" xfId="0" applyFont="1" applyFill="1" applyBorder="1" applyAlignment="1" applyProtection="1">
      <alignment horizontal="right"/>
      <protection hidden="1"/>
    </xf>
    <xf numFmtId="2" fontId="2" fillId="3" borderId="18" xfId="0" applyNumberFormat="1" applyFont="1" applyFill="1" applyBorder="1" applyAlignment="1" applyProtection="1">
      <alignment horizontal="right"/>
      <protection hidden="1"/>
    </xf>
    <xf numFmtId="9" fontId="2" fillId="3" borderId="2" xfId="0" applyNumberFormat="1" applyFont="1" applyFill="1" applyBorder="1" applyAlignment="1" applyProtection="1">
      <alignment horizontal="right"/>
      <protection hidden="1"/>
    </xf>
    <xf numFmtId="0" fontId="2" fillId="3" borderId="3" xfId="0" applyFont="1" applyFill="1" applyBorder="1" applyAlignment="1" applyProtection="1">
      <alignment horizontal="right"/>
      <protection hidden="1"/>
    </xf>
    <xf numFmtId="3" fontId="2" fillId="3" borderId="4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17" xfId="0" applyNumberFormat="1" applyFont="1" applyFill="1" applyBorder="1" applyAlignment="1" applyProtection="1">
      <alignment horizontal="right"/>
      <protection hidden="1"/>
    </xf>
    <xf numFmtId="10" fontId="6" fillId="3" borderId="1" xfId="0" applyNumberFormat="1" applyFont="1" applyFill="1" applyBorder="1" applyAlignment="1" applyProtection="1">
      <alignment horizontal="left"/>
      <protection hidden="1"/>
    </xf>
    <xf numFmtId="10" fontId="8" fillId="3" borderId="1" xfId="0" applyNumberFormat="1" applyFont="1" applyFill="1" applyBorder="1" applyAlignment="1" applyProtection="1">
      <alignment horizontal="left"/>
      <protection hidden="1"/>
    </xf>
    <xf numFmtId="2" fontId="8" fillId="3" borderId="0" xfId="0" applyNumberFormat="1" applyFont="1" applyFill="1" applyBorder="1" applyProtection="1">
      <protection hidden="1"/>
    </xf>
    <xf numFmtId="10" fontId="2" fillId="3" borderId="1" xfId="0" applyNumberFormat="1" applyFont="1" applyFill="1" applyBorder="1" applyAlignment="1" applyProtection="1">
      <alignment horizontal="left"/>
      <protection hidden="1"/>
    </xf>
    <xf numFmtId="2" fontId="2" fillId="3" borderId="0" xfId="0" applyNumberFormat="1" applyFont="1" applyFill="1" applyBorder="1" applyProtection="1">
      <protection hidden="1"/>
    </xf>
    <xf numFmtId="3" fontId="2" fillId="3" borderId="27" xfId="0" applyNumberFormat="1" applyFont="1" applyFill="1" applyBorder="1" applyAlignment="1" applyProtection="1">
      <alignment horizontal="right"/>
      <protection hidden="1"/>
    </xf>
    <xf numFmtId="3" fontId="2" fillId="3" borderId="0" xfId="0" applyNumberFormat="1" applyFont="1" applyFill="1" applyBorder="1" applyProtection="1">
      <protection hidden="1"/>
    </xf>
    <xf numFmtId="3" fontId="2" fillId="3" borderId="12" xfId="0" applyNumberFormat="1" applyFont="1" applyFill="1" applyBorder="1" applyAlignment="1" applyProtection="1">
      <alignment horizontal="right"/>
      <protection hidden="1"/>
    </xf>
    <xf numFmtId="3" fontId="2" fillId="3" borderId="11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right"/>
      <protection hidden="1"/>
    </xf>
    <xf numFmtId="2" fontId="2" fillId="3" borderId="20" xfId="0" applyNumberFormat="1" applyFont="1" applyFill="1" applyBorder="1" applyProtection="1">
      <protection hidden="1"/>
    </xf>
    <xf numFmtId="3" fontId="2" fillId="3" borderId="0" xfId="0" applyNumberFormat="1" applyFont="1" applyFill="1" applyBorder="1" applyAlignment="1" applyProtection="1">
      <alignment horizontal="right"/>
      <protection hidden="1"/>
    </xf>
    <xf numFmtId="0" fontId="4" fillId="3" borderId="2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1" fillId="3" borderId="1" xfId="0" quotePrefix="1" applyFont="1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right"/>
      <protection hidden="1"/>
    </xf>
    <xf numFmtId="2" fontId="2" fillId="3" borderId="26" xfId="0" applyNumberFormat="1" applyFont="1" applyFill="1" applyBorder="1" applyProtection="1">
      <protection hidden="1"/>
    </xf>
    <xf numFmtId="0" fontId="9" fillId="3" borderId="1" xfId="0" applyFont="1" applyFill="1" applyBorder="1" applyAlignment="1" applyProtection="1">
      <alignment horizontal="left"/>
      <protection hidden="1"/>
    </xf>
    <xf numFmtId="0" fontId="2" fillId="3" borderId="26" xfId="0" applyFont="1" applyFill="1" applyBorder="1" applyAlignment="1" applyProtection="1">
      <alignment horizontal="left"/>
      <protection hidden="1"/>
    </xf>
    <xf numFmtId="0" fontId="2" fillId="3" borderId="26" xfId="0" quotePrefix="1" applyFont="1" applyFill="1" applyBorder="1" applyAlignment="1" applyProtection="1">
      <alignment horizontal="right"/>
      <protection hidden="1"/>
    </xf>
    <xf numFmtId="0" fontId="2" fillId="3" borderId="30" xfId="0" applyFont="1" applyFill="1" applyBorder="1" applyAlignment="1" applyProtection="1">
      <alignment horizontal="right"/>
      <protection hidden="1"/>
    </xf>
    <xf numFmtId="0" fontId="8" fillId="3" borderId="26" xfId="0" applyFont="1" applyFill="1" applyBorder="1" applyAlignment="1" applyProtection="1">
      <alignment horizontal="left"/>
      <protection hidden="1"/>
    </xf>
    <xf numFmtId="164" fontId="2" fillId="3" borderId="37" xfId="0" applyNumberFormat="1" applyFont="1" applyFill="1" applyBorder="1" applyAlignment="1" applyProtection="1">
      <alignment horizontal="right"/>
      <protection hidden="1"/>
    </xf>
    <xf numFmtId="3" fontId="2" fillId="3" borderId="38" xfId="0" applyNumberFormat="1" applyFont="1" applyFill="1" applyBorder="1" applyAlignment="1" applyProtection="1">
      <alignment horizontal="right"/>
      <protection hidden="1"/>
    </xf>
    <xf numFmtId="0" fontId="2" fillId="3" borderId="5" xfId="0" applyFont="1" applyFill="1" applyBorder="1" applyAlignment="1" applyProtection="1">
      <alignment horizontal="right"/>
      <protection hidden="1"/>
    </xf>
    <xf numFmtId="3" fontId="2" fillId="3" borderId="39" xfId="0" applyNumberFormat="1" applyFont="1" applyFill="1" applyBorder="1" applyAlignment="1" applyProtection="1">
      <alignment horizontal="right"/>
      <protection hidden="1"/>
    </xf>
    <xf numFmtId="2" fontId="2" fillId="3" borderId="5" xfId="0" applyNumberFormat="1" applyFont="1" applyFill="1" applyBorder="1" applyProtection="1">
      <protection hidden="1"/>
    </xf>
    <xf numFmtId="0" fontId="2" fillId="0" borderId="28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19" xfId="0" applyFont="1" applyBorder="1" applyAlignment="1" applyProtection="1">
      <alignment horizontal="right"/>
      <protection locked="0"/>
    </xf>
    <xf numFmtId="0" fontId="0" fillId="0" borderId="20" xfId="0" applyBorder="1" applyProtection="1">
      <protection locked="0"/>
    </xf>
    <xf numFmtId="0" fontId="4" fillId="3" borderId="25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5" fillId="3" borderId="0" xfId="1" applyFill="1" applyBorder="1" applyAlignment="1" applyProtection="1">
      <alignment horizontal="right"/>
      <protection hidden="1"/>
    </xf>
    <xf numFmtId="0" fontId="10" fillId="3" borderId="10" xfId="0" applyFont="1" applyFill="1" applyBorder="1" applyAlignment="1" applyProtection="1">
      <alignment horizontal="right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1" fontId="2" fillId="3" borderId="8" xfId="0" applyNumberFormat="1" applyFont="1" applyFill="1" applyBorder="1" applyAlignment="1" applyProtection="1">
      <alignment horizontal="right"/>
      <protection hidden="1"/>
    </xf>
    <xf numFmtId="3" fontId="2" fillId="3" borderId="9" xfId="0" applyNumberFormat="1" applyFont="1" applyFill="1" applyBorder="1" applyAlignment="1" applyProtection="1">
      <alignment horizontal="right"/>
      <protection hidden="1"/>
    </xf>
    <xf numFmtId="0" fontId="2" fillId="3" borderId="28" xfId="0" applyFont="1" applyFill="1" applyBorder="1" applyProtection="1">
      <protection hidden="1"/>
    </xf>
    <xf numFmtId="0" fontId="6" fillId="3" borderId="1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0" fillId="3" borderId="12" xfId="0" applyFill="1" applyBorder="1" applyAlignment="1" applyProtection="1">
      <alignment horizontal="right"/>
      <protection hidden="1"/>
    </xf>
    <xf numFmtId="3" fontId="0" fillId="3" borderId="12" xfId="0" applyNumberFormat="1" applyFill="1" applyBorder="1" applyAlignment="1" applyProtection="1">
      <alignment horizontal="right"/>
      <protection hidden="1"/>
    </xf>
    <xf numFmtId="0" fontId="6" fillId="3" borderId="19" xfId="0" applyFont="1" applyFill="1" applyBorder="1" applyProtection="1">
      <protection hidden="1"/>
    </xf>
    <xf numFmtId="0" fontId="2" fillId="3" borderId="20" xfId="0" applyFont="1" applyFill="1" applyBorder="1" applyAlignment="1" applyProtection="1">
      <alignment horizontal="right"/>
      <protection hidden="1"/>
    </xf>
    <xf numFmtId="0" fontId="2" fillId="3" borderId="19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3" fontId="2" fillId="3" borderId="1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4" fontId="0" fillId="3" borderId="25" xfId="0" applyNumberFormat="1" applyFill="1" applyBorder="1" applyAlignment="1" applyProtection="1">
      <alignment horizontal="right"/>
      <protection hidden="1"/>
    </xf>
    <xf numFmtId="4" fontId="0" fillId="3" borderId="26" xfId="0" applyNumberFormat="1" applyFill="1" applyBorder="1" applyAlignment="1" applyProtection="1">
      <alignment horizontal="right"/>
      <protection hidden="1"/>
    </xf>
    <xf numFmtId="2" fontId="0" fillId="3" borderId="26" xfId="0" applyNumberFormat="1" applyFill="1" applyBorder="1" applyAlignment="1" applyProtection="1">
      <alignment horizontal="right"/>
      <protection hidden="1"/>
    </xf>
    <xf numFmtId="3" fontId="0" fillId="3" borderId="26" xfId="0" applyNumberFormat="1" applyFill="1" applyBorder="1" applyAlignment="1" applyProtection="1">
      <alignment horizontal="right"/>
      <protection hidden="1"/>
    </xf>
    <xf numFmtId="3" fontId="2" fillId="3" borderId="30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3" borderId="23" xfId="0" applyFont="1" applyFill="1" applyBorder="1" applyAlignment="1" applyProtection="1">
      <alignment horizontal="right"/>
      <protection hidden="1"/>
    </xf>
    <xf numFmtId="0" fontId="11" fillId="3" borderId="1" xfId="0" applyFont="1" applyFill="1" applyBorder="1" applyAlignment="1" applyProtection="1">
      <alignment horizontal="left"/>
      <protection hidden="1"/>
    </xf>
    <xf numFmtId="10" fontId="2" fillId="3" borderId="28" xfId="0" applyNumberFormat="1" applyFont="1" applyFill="1" applyBorder="1" applyAlignment="1" applyProtection="1">
      <alignment horizontal="left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40" xfId="0" applyFont="1" applyFill="1" applyBorder="1" applyAlignment="1" applyProtection="1">
      <alignment horizontal="right"/>
      <protection hidden="1"/>
    </xf>
    <xf numFmtId="10" fontId="2" fillId="3" borderId="42" xfId="0" applyNumberFormat="1" applyFont="1" applyFill="1" applyBorder="1" applyAlignment="1" applyProtection="1">
      <alignment horizontal="right"/>
      <protection hidden="1"/>
    </xf>
    <xf numFmtId="0" fontId="2" fillId="3" borderId="41" xfId="0" applyFont="1" applyFill="1" applyBorder="1" applyAlignment="1" applyProtection="1">
      <alignment horizontal="right"/>
      <protection hidden="1"/>
    </xf>
    <xf numFmtId="10" fontId="2" fillId="3" borderId="43" xfId="0" applyNumberFormat="1" applyFont="1" applyFill="1" applyBorder="1" applyAlignment="1" applyProtection="1">
      <alignment horizontal="right"/>
      <protection hidden="1"/>
    </xf>
    <xf numFmtId="10" fontId="2" fillId="3" borderId="37" xfId="0" applyNumberFormat="1" applyFont="1" applyFill="1" applyBorder="1" applyAlignment="1" applyProtection="1">
      <alignment horizontal="right"/>
      <protection hidden="1"/>
    </xf>
    <xf numFmtId="0" fontId="2" fillId="3" borderId="6" xfId="0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left"/>
      <protection hidden="1"/>
    </xf>
    <xf numFmtId="10" fontId="1" fillId="3" borderId="25" xfId="0" applyNumberFormat="1" applyFont="1" applyFill="1" applyBorder="1" applyAlignment="1" applyProtection="1">
      <alignment horizontal="left"/>
      <protection hidden="1"/>
    </xf>
    <xf numFmtId="0" fontId="2" fillId="3" borderId="44" xfId="0" applyFont="1" applyFill="1" applyBorder="1" applyAlignment="1" applyProtection="1">
      <alignment horizontal="right"/>
      <protection hidden="1"/>
    </xf>
    <xf numFmtId="10" fontId="8" fillId="3" borderId="25" xfId="0" applyNumberFormat="1" applyFont="1" applyFill="1" applyBorder="1" applyAlignment="1" applyProtection="1">
      <alignment horizontal="left"/>
      <protection hidden="1"/>
    </xf>
    <xf numFmtId="3" fontId="13" fillId="0" borderId="7" xfId="0" quotePrefix="1" applyNumberFormat="1" applyFont="1" applyFill="1" applyBorder="1" applyAlignment="1" applyProtection="1">
      <alignment horizontal="right"/>
      <protection locked="0"/>
    </xf>
    <xf numFmtId="3" fontId="13" fillId="0" borderId="16" xfId="0" quotePrefix="1" applyNumberFormat="1" applyFont="1" applyFill="1" applyBorder="1" applyAlignment="1" applyProtection="1">
      <alignment horizontal="right"/>
      <protection locked="0"/>
    </xf>
    <xf numFmtId="3" fontId="13" fillId="0" borderId="36" xfId="0" applyNumberFormat="1" applyFont="1" applyFill="1" applyBorder="1" applyAlignment="1" applyProtection="1">
      <alignment horizontal="right"/>
      <protection locked="0"/>
    </xf>
    <xf numFmtId="9" fontId="13" fillId="0" borderId="31" xfId="0" applyNumberFormat="1" applyFont="1" applyFill="1" applyBorder="1" applyAlignment="1" applyProtection="1">
      <alignment horizontal="right"/>
      <protection locked="0"/>
    </xf>
    <xf numFmtId="0" fontId="13" fillId="0" borderId="33" xfId="2" applyFont="1" applyFill="1" applyBorder="1" applyProtection="1">
      <protection locked="0"/>
    </xf>
    <xf numFmtId="3" fontId="13" fillId="0" borderId="35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Fill="1" applyBorder="1" applyAlignment="1" applyProtection="1">
      <alignment horizontal="right"/>
      <protection locked="0"/>
    </xf>
    <xf numFmtId="9" fontId="13" fillId="0" borderId="36" xfId="0" applyNumberFormat="1" applyFont="1" applyFill="1" applyBorder="1" applyAlignment="1" applyProtection="1">
      <alignment horizontal="right"/>
      <protection locked="0"/>
    </xf>
    <xf numFmtId="3" fontId="13" fillId="0" borderId="14" xfId="0" applyNumberFormat="1" applyFont="1" applyFill="1" applyBorder="1" applyAlignment="1" applyProtection="1">
      <alignment horizontal="right"/>
      <protection locked="0"/>
    </xf>
    <xf numFmtId="4" fontId="14" fillId="0" borderId="34" xfId="0" quotePrefix="1" applyNumberFormat="1" applyFont="1" applyFill="1" applyBorder="1" applyAlignment="1" applyProtection="1">
      <alignment horizontal="left" wrapText="1"/>
      <protection locked="0"/>
    </xf>
    <xf numFmtId="4" fontId="14" fillId="0" borderId="32" xfId="2" applyNumberFormat="1" applyFont="1" applyFill="1" applyBorder="1" applyAlignment="1" applyProtection="1">
      <alignment wrapText="1"/>
      <protection locked="0"/>
    </xf>
    <xf numFmtId="4" fontId="13" fillId="0" borderId="29" xfId="0" applyNumberFormat="1" applyFont="1" applyFill="1" applyBorder="1" applyAlignment="1" applyProtection="1">
      <alignment horizontal="right"/>
      <protection locked="0"/>
    </xf>
    <xf numFmtId="2" fontId="2" fillId="3" borderId="38" xfId="2" applyNumberFormat="1" applyFill="1" applyBorder="1" applyProtection="1">
      <protection hidden="1"/>
    </xf>
    <xf numFmtId="3" fontId="2" fillId="3" borderId="45" xfId="0" applyNumberFormat="1" applyFont="1" applyFill="1" applyBorder="1" applyAlignment="1" applyProtection="1">
      <alignment horizontal="right"/>
      <protection hidden="1"/>
    </xf>
    <xf numFmtId="10" fontId="2" fillId="3" borderId="47" xfId="0" applyNumberFormat="1" applyFont="1" applyFill="1" applyBorder="1" applyAlignment="1" applyProtection="1">
      <alignment horizontal="right"/>
      <protection hidden="1"/>
    </xf>
    <xf numFmtId="10" fontId="2" fillId="3" borderId="48" xfId="0" applyNumberFormat="1" applyFont="1" applyFill="1" applyBorder="1" applyAlignment="1" applyProtection="1">
      <alignment horizontal="right"/>
      <protection hidden="1"/>
    </xf>
    <xf numFmtId="10" fontId="2" fillId="3" borderId="46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21" xfId="0" applyNumberFormat="1" applyBorder="1" applyProtection="1">
      <protection locked="0"/>
    </xf>
  </cellXfs>
  <cellStyles count="4">
    <cellStyle name="Hyperlink" xfId="1" builtinId="8"/>
    <cellStyle name="Normal 2" xfId="2" xr:uid="{00000000-0005-0000-0000-000002000000}"/>
    <cellStyle name="Normal 3" xfId="3" xr:uid="{00000000-0005-0000-0000-000003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43"/>
  <sheetViews>
    <sheetView showGridLines="0" tabSelected="1" showOutlineSymbols="0" topLeftCell="B1" zoomScale="120" zoomScaleNormal="120" workbookViewId="0">
      <selection activeCell="B27" sqref="B27"/>
    </sheetView>
  </sheetViews>
  <sheetFormatPr baseColWidth="10" defaultColWidth="9.1640625" defaultRowHeight="13"/>
  <cols>
    <col min="1" max="1" width="3" style="70" hidden="1" customWidth="1"/>
    <col min="2" max="2" width="23" style="95" customWidth="1"/>
    <col min="3" max="3" width="38.83203125" style="95" customWidth="1"/>
    <col min="4" max="4" width="23.6640625" style="88" customWidth="1"/>
    <col min="5" max="5" width="21.5" style="88" customWidth="1"/>
    <col min="6" max="6" width="20.83203125" style="88" customWidth="1"/>
    <col min="7" max="7" width="17.33203125" style="88" customWidth="1"/>
    <col min="8" max="8" width="21.6640625" style="88" customWidth="1"/>
    <col min="9" max="9" width="6" style="88" customWidth="1"/>
    <col min="10" max="10" width="6.33203125" style="70" customWidth="1"/>
    <col min="11" max="11" width="13" style="70" bestFit="1" customWidth="1"/>
    <col min="12" max="12" width="6.1640625" style="70" customWidth="1"/>
    <col min="13" max="13" width="33.5" style="70" customWidth="1"/>
    <col min="14" max="16384" width="9.1640625" style="70"/>
  </cols>
  <sheetData>
    <row r="1" spans="2:13" ht="15" customHeight="1" thickTop="1" thickBot="1">
      <c r="B1" s="69" t="s">
        <v>2</v>
      </c>
      <c r="C1" s="17"/>
      <c r="D1" s="18"/>
      <c r="E1" s="52" t="s">
        <v>10</v>
      </c>
      <c r="F1" s="52" t="s">
        <v>4</v>
      </c>
      <c r="G1" s="52"/>
      <c r="H1" s="54" t="s">
        <v>9</v>
      </c>
      <c r="I1" s="4">
        <f>IF(LOOKUP(1,L1:L17,J1:J17)&gt;0,LOOKUP(1,L1:L17,J1:J17)-1,LOOKUP(1,L1:L17,J1:J17))</f>
        <v>0</v>
      </c>
      <c r="J1" s="5">
        <v>0</v>
      </c>
      <c r="K1" s="6">
        <f>J1/M1</f>
        <v>0</v>
      </c>
      <c r="L1" s="7">
        <f>IF($D$7/$D$3=K1,1,"" )</f>
        <v>1</v>
      </c>
      <c r="M1" s="1">
        <f t="shared" ref="M1:M17" si="0">ROUNDUP(GAMMAINV($E$7,J1+1,1),2)</f>
        <v>3</v>
      </c>
    </row>
    <row r="2" spans="2:13" ht="15" customHeight="1" thickTop="1">
      <c r="B2" s="48" t="s">
        <v>7</v>
      </c>
      <c r="C2" s="19" t="s">
        <v>8</v>
      </c>
      <c r="D2" s="111">
        <v>1000000</v>
      </c>
      <c r="E2" s="71" t="s">
        <v>48</v>
      </c>
      <c r="F2" s="32"/>
      <c r="G2" s="72"/>
      <c r="H2" s="73">
        <v>1</v>
      </c>
      <c r="I2" s="8"/>
      <c r="J2" s="9">
        <v>1</v>
      </c>
      <c r="K2" s="10">
        <f t="shared" ref="K2:K3" si="1">J2/M2</f>
        <v>0.21052631578947367</v>
      </c>
      <c r="L2" s="11" t="str">
        <f t="shared" ref="L2:L17" si="2">IF(AND($D$7/$D$3&gt;K1,$D$7/$D$3&lt;K2),1,"")</f>
        <v/>
      </c>
      <c r="M2" s="2">
        <f t="shared" si="0"/>
        <v>4.75</v>
      </c>
    </row>
    <row r="3" spans="2:13" ht="15" customHeight="1">
      <c r="B3" s="20"/>
      <c r="C3" s="21" t="s">
        <v>11</v>
      </c>
      <c r="D3" s="112">
        <v>30000</v>
      </c>
      <c r="E3" s="32"/>
      <c r="F3" s="32"/>
      <c r="G3" s="32"/>
      <c r="H3" s="73">
        <v>2</v>
      </c>
      <c r="I3" s="12"/>
      <c r="J3" s="9">
        <v>2</v>
      </c>
      <c r="K3" s="10">
        <f t="shared" si="1"/>
        <v>0.31746031746031744</v>
      </c>
      <c r="L3" s="11" t="str">
        <f t="shared" si="2"/>
        <v/>
      </c>
      <c r="M3" s="2">
        <f t="shared" si="0"/>
        <v>6.3</v>
      </c>
    </row>
    <row r="4" spans="2:13" ht="15" customHeight="1" thickBot="1">
      <c r="B4" s="20"/>
      <c r="C4" s="22" t="s">
        <v>12</v>
      </c>
      <c r="D4" s="112">
        <v>30000</v>
      </c>
      <c r="E4" s="74"/>
      <c r="F4" s="32"/>
      <c r="G4" s="32"/>
      <c r="H4" s="73"/>
      <c r="I4" s="12"/>
      <c r="J4" s="9">
        <v>3</v>
      </c>
      <c r="K4" s="10">
        <f t="shared" ref="K4:K11" si="3">J4/M4</f>
        <v>0.38659793814432991</v>
      </c>
      <c r="L4" s="11" t="str">
        <f t="shared" si="2"/>
        <v/>
      </c>
      <c r="M4" s="2">
        <f t="shared" si="0"/>
        <v>7.76</v>
      </c>
    </row>
    <row r="5" spans="2:13" ht="15" customHeight="1" thickTop="1">
      <c r="B5" s="46" t="s">
        <v>13</v>
      </c>
      <c r="C5" s="58"/>
      <c r="D5" s="49"/>
      <c r="E5" s="24" t="s">
        <v>14</v>
      </c>
      <c r="F5" s="23" t="s">
        <v>1</v>
      </c>
      <c r="G5" s="25" t="s">
        <v>15</v>
      </c>
      <c r="H5" s="26" t="s">
        <v>0</v>
      </c>
      <c r="I5" s="12"/>
      <c r="J5" s="9">
        <v>4</v>
      </c>
      <c r="K5" s="10">
        <f t="shared" si="3"/>
        <v>0.4366812227074236</v>
      </c>
      <c r="L5" s="11" t="str">
        <f t="shared" si="2"/>
        <v/>
      </c>
      <c r="M5" s="2">
        <f t="shared" si="0"/>
        <v>9.16</v>
      </c>
    </row>
    <row r="6" spans="2:13" ht="15" customHeight="1">
      <c r="B6" s="97"/>
      <c r="C6" s="32"/>
      <c r="D6" s="96"/>
      <c r="E6" s="29">
        <f>1-EXP(-F6)</f>
        <v>0.95021293163213605</v>
      </c>
      <c r="F6" s="28">
        <v>3</v>
      </c>
      <c r="G6" s="30">
        <f>ROUNDUP($D$2/H6,0)</f>
        <v>100</v>
      </c>
      <c r="H6" s="31">
        <f>$D$4/F6</f>
        <v>10000</v>
      </c>
      <c r="I6" s="12"/>
      <c r="J6" s="9">
        <v>5</v>
      </c>
      <c r="K6" s="10">
        <f t="shared" si="3"/>
        <v>0.47528517110266161</v>
      </c>
      <c r="L6" s="11" t="str">
        <f t="shared" si="2"/>
        <v/>
      </c>
      <c r="M6" s="2">
        <f t="shared" si="0"/>
        <v>10.52</v>
      </c>
    </row>
    <row r="7" spans="2:13" ht="15" customHeight="1" thickBot="1">
      <c r="B7" s="51"/>
      <c r="C7" s="32" t="s">
        <v>16</v>
      </c>
      <c r="D7" s="113">
        <v>0</v>
      </c>
      <c r="E7" s="114">
        <v>0.95</v>
      </c>
      <c r="F7" s="33">
        <f>ROUNDUP(_xlfn.GAMMA.INV(E7,1+D8,1),2)</f>
        <v>3</v>
      </c>
      <c r="G7" s="75">
        <f>ROUNDUP(D2/H7,0)</f>
        <v>100</v>
      </c>
      <c r="H7" s="76">
        <f>D4/F7</f>
        <v>10000</v>
      </c>
      <c r="I7" s="12"/>
      <c r="J7" s="9">
        <v>6</v>
      </c>
      <c r="K7" s="10">
        <f t="shared" si="3"/>
        <v>0.50632911392405067</v>
      </c>
      <c r="L7" s="11" t="str">
        <f t="shared" si="2"/>
        <v/>
      </c>
      <c r="M7" s="2">
        <f t="shared" si="0"/>
        <v>11.85</v>
      </c>
    </row>
    <row r="8" spans="2:13" ht="15" customHeight="1" thickTop="1" thickBot="1">
      <c r="B8" s="107"/>
      <c r="C8" s="109" t="s">
        <v>17</v>
      </c>
      <c r="D8" s="56">
        <f>IF(D7&gt;0,(INDEX(M1:M17,I1+1)-I1*(INDEX(M1:M17,I1+2)-INDEX(M1:M17,I1+1)))/(D3/D7-(INDEX(M1:M17,I1+2)-INDEX(M1:M17,I1+1))),J1)</f>
        <v>0</v>
      </c>
      <c r="E8" s="55" t="str">
        <f>IF(D7&gt;0,"fouten toestaan lijkt strijdig met betrouwbaarheid &lt;90%","")</f>
        <v/>
      </c>
      <c r="F8" s="53"/>
      <c r="G8" s="53"/>
      <c r="H8" s="54"/>
      <c r="I8" s="12"/>
      <c r="J8" s="9">
        <v>7</v>
      </c>
      <c r="K8" s="10">
        <f t="shared" si="3"/>
        <v>0.53231939163498099</v>
      </c>
      <c r="L8" s="11" t="str">
        <f t="shared" si="2"/>
        <v/>
      </c>
      <c r="M8" s="2">
        <f t="shared" si="0"/>
        <v>13.15</v>
      </c>
    </row>
    <row r="9" spans="2:13" ht="15" customHeight="1" thickTop="1" thickBot="1">
      <c r="B9" s="108" t="s">
        <v>18</v>
      </c>
      <c r="C9" s="54" t="s">
        <v>19</v>
      </c>
      <c r="D9" s="115">
        <v>1</v>
      </c>
      <c r="E9" s="110"/>
      <c r="F9" s="50"/>
      <c r="G9" s="50" t="s">
        <v>6</v>
      </c>
      <c r="H9" s="76">
        <f>D9*H7</f>
        <v>10000</v>
      </c>
      <c r="I9" s="12"/>
      <c r="J9" s="9">
        <v>8</v>
      </c>
      <c r="K9" s="10">
        <f t="shared" si="3"/>
        <v>0.554016620498615</v>
      </c>
      <c r="L9" s="11" t="str">
        <f t="shared" si="2"/>
        <v/>
      </c>
      <c r="M9" s="2">
        <f t="shared" si="0"/>
        <v>14.44</v>
      </c>
    </row>
    <row r="10" spans="2:13" ht="15" customHeight="1" thickTop="1">
      <c r="B10" s="46" t="s">
        <v>20</v>
      </c>
      <c r="C10" s="32" t="s">
        <v>21</v>
      </c>
      <c r="D10" s="116">
        <v>1000000</v>
      </c>
      <c r="E10" s="38" t="s">
        <v>23</v>
      </c>
      <c r="F10" s="36"/>
      <c r="G10" s="32"/>
      <c r="H10" s="27"/>
      <c r="I10" s="12"/>
      <c r="J10" s="9">
        <v>9</v>
      </c>
      <c r="K10" s="10">
        <f t="shared" si="3"/>
        <v>0.57288351368555068</v>
      </c>
      <c r="L10" s="11" t="str">
        <f t="shared" si="2"/>
        <v/>
      </c>
      <c r="M10" s="2">
        <f t="shared" si="0"/>
        <v>15.709999999999999</v>
      </c>
    </row>
    <row r="11" spans="2:13" ht="15" customHeight="1">
      <c r="B11" s="34"/>
      <c r="C11" s="32" t="s">
        <v>22</v>
      </c>
      <c r="D11" s="117">
        <v>131</v>
      </c>
      <c r="E11" s="35"/>
      <c r="F11" s="38"/>
      <c r="G11" s="32"/>
      <c r="H11" s="27"/>
      <c r="I11" s="12"/>
      <c r="J11" s="9">
        <v>10</v>
      </c>
      <c r="K11" s="10">
        <f t="shared" si="3"/>
        <v>0.58927519151443719</v>
      </c>
      <c r="L11" s="11" t="str">
        <f t="shared" si="2"/>
        <v/>
      </c>
      <c r="M11" s="2">
        <f t="shared" si="0"/>
        <v>16.970000000000002</v>
      </c>
    </row>
    <row r="12" spans="2:13" ht="15" customHeight="1">
      <c r="B12" s="34"/>
      <c r="C12" s="32" t="s">
        <v>3</v>
      </c>
      <c r="D12" s="39">
        <f>D10/D11</f>
        <v>7633.5877862595416</v>
      </c>
      <c r="E12" s="37" t="s">
        <v>24</v>
      </c>
      <c r="F12" s="40"/>
      <c r="G12" s="32"/>
      <c r="H12" s="27"/>
      <c r="I12" s="12"/>
      <c r="J12" s="9">
        <v>11</v>
      </c>
      <c r="K12" s="10">
        <f t="shared" ref="K12:K17" si="4">J12/M12</f>
        <v>0.60406370126304221</v>
      </c>
      <c r="L12" s="11" t="str">
        <f t="shared" si="2"/>
        <v/>
      </c>
      <c r="M12" s="2">
        <f t="shared" si="0"/>
        <v>18.21</v>
      </c>
    </row>
    <row r="13" spans="2:13" ht="15" customHeight="1">
      <c r="B13" s="34"/>
      <c r="C13" s="32" t="s">
        <v>25</v>
      </c>
      <c r="D13" s="118">
        <v>0.95</v>
      </c>
      <c r="E13" s="37" t="s">
        <v>26</v>
      </c>
      <c r="F13" s="40"/>
      <c r="G13" s="32"/>
      <c r="H13" s="27"/>
      <c r="I13" s="12"/>
      <c r="J13" s="9">
        <v>12</v>
      </c>
      <c r="K13" s="10">
        <f t="shared" si="4"/>
        <v>0.61696658097686363</v>
      </c>
      <c r="L13" s="11" t="str">
        <f t="shared" si="2"/>
        <v/>
      </c>
      <c r="M13" s="2">
        <f t="shared" si="0"/>
        <v>19.450000000000003</v>
      </c>
    </row>
    <row r="14" spans="2:13" ht="14" thickBot="1">
      <c r="B14" s="34"/>
      <c r="C14" s="32" t="s">
        <v>27</v>
      </c>
      <c r="D14" s="57">
        <f>D12*_xlfn.GAMMA.INV(E7,1,1)/_xlfn.GAMMA.INV(D13,1,1)</f>
        <v>7633.5877862595416</v>
      </c>
      <c r="E14" s="37"/>
      <c r="F14" s="40"/>
      <c r="G14" s="32"/>
      <c r="H14" s="27"/>
      <c r="I14" s="12"/>
      <c r="J14" s="9">
        <v>13</v>
      </c>
      <c r="K14" s="10">
        <f t="shared" si="4"/>
        <v>0.62893081761006286</v>
      </c>
      <c r="L14" s="11" t="str">
        <f t="shared" si="2"/>
        <v/>
      </c>
      <c r="M14" s="2">
        <f t="shared" si="0"/>
        <v>20.67</v>
      </c>
    </row>
    <row r="15" spans="2:13" ht="14" thickTop="1">
      <c r="B15" s="46" t="s">
        <v>28</v>
      </c>
      <c r="C15" s="58" t="s">
        <v>29</v>
      </c>
      <c r="D15" s="59">
        <f>IF(E42&gt;0,GAMMAINV(1-E7,E42,D12),0)</f>
        <v>902.82742052444826</v>
      </c>
      <c r="E15" s="77"/>
      <c r="F15" s="60"/>
      <c r="G15" s="58"/>
      <c r="H15" s="125">
        <f>D15/D2</f>
        <v>9.0282742052444831E-4</v>
      </c>
      <c r="I15" s="12"/>
      <c r="J15" s="9">
        <v>14</v>
      </c>
      <c r="K15" s="10">
        <f t="shared" si="4"/>
        <v>0.6395614435815441</v>
      </c>
      <c r="L15" s="11" t="str">
        <f t="shared" si="2"/>
        <v/>
      </c>
      <c r="M15" s="2">
        <f t="shared" si="0"/>
        <v>21.89</v>
      </c>
    </row>
    <row r="16" spans="2:13">
      <c r="B16" s="78"/>
      <c r="C16" s="32" t="s">
        <v>30</v>
      </c>
      <c r="D16" s="42">
        <f>F42</f>
        <v>9923.6641221374048</v>
      </c>
      <c r="E16" s="37"/>
      <c r="F16" s="38"/>
      <c r="G16" s="32"/>
      <c r="H16" s="127">
        <f>D16/D2</f>
        <v>9.9236641221374048E-3</v>
      </c>
      <c r="I16" s="12"/>
      <c r="J16" s="9">
        <v>15</v>
      </c>
      <c r="K16" s="10">
        <f t="shared" si="4"/>
        <v>0.64935064935064934</v>
      </c>
      <c r="L16" s="11" t="str">
        <f t="shared" si="2"/>
        <v/>
      </c>
      <c r="M16" s="2">
        <f t="shared" si="0"/>
        <v>23.1</v>
      </c>
    </row>
    <row r="17" spans="1:13" ht="14" thickBot="1">
      <c r="B17" s="78"/>
      <c r="C17" s="32" t="s">
        <v>31</v>
      </c>
      <c r="D17" s="41">
        <f>H42</f>
        <v>39832.061068702285</v>
      </c>
      <c r="E17" s="79"/>
      <c r="F17" s="38"/>
      <c r="G17" s="32"/>
      <c r="H17" s="126">
        <f>D17/D2</f>
        <v>3.9832061068702289E-2</v>
      </c>
      <c r="I17" s="13"/>
      <c r="J17" s="14">
        <v>16</v>
      </c>
      <c r="K17" s="15">
        <f t="shared" si="4"/>
        <v>0.65816536404771697</v>
      </c>
      <c r="L17" s="16" t="str">
        <f t="shared" si="2"/>
        <v/>
      </c>
      <c r="M17" s="3">
        <f t="shared" si="0"/>
        <v>24.310000000000002</v>
      </c>
    </row>
    <row r="18" spans="1:13" ht="14" thickTop="1">
      <c r="B18" s="78"/>
      <c r="C18" s="32" t="s">
        <v>32</v>
      </c>
      <c r="D18" s="80" t="str">
        <f>IF(D17&gt;D3,"nee","ja")</f>
        <v>nee</v>
      </c>
      <c r="E18" s="79" t="s">
        <v>36</v>
      </c>
      <c r="F18" s="38"/>
      <c r="G18" s="32"/>
      <c r="H18" s="101"/>
      <c r="I18" s="61"/>
      <c r="J18" s="62" t="s">
        <v>49</v>
      </c>
      <c r="K18" s="62"/>
      <c r="L18" s="62"/>
      <c r="M18" s="128"/>
    </row>
    <row r="19" spans="1:13">
      <c r="B19" s="78"/>
      <c r="C19" s="32" t="s">
        <v>33</v>
      </c>
      <c r="D19" s="81">
        <f>D17-D16</f>
        <v>29908.396946564881</v>
      </c>
      <c r="E19" s="79" t="s">
        <v>34</v>
      </c>
      <c r="F19" s="38"/>
      <c r="G19" s="32"/>
      <c r="H19" s="102">
        <f>D19/D2</f>
        <v>2.9908396946564882E-2</v>
      </c>
      <c r="I19" s="63"/>
      <c r="J19" s="64"/>
      <c r="K19" s="64"/>
      <c r="L19" s="64"/>
      <c r="M19" s="129"/>
    </row>
    <row r="20" spans="1:13">
      <c r="B20" s="78"/>
      <c r="C20" s="32" t="s">
        <v>35</v>
      </c>
      <c r="D20" s="43" t="str">
        <f>IF(D17-D16&gt;D3,"nee","ja")</f>
        <v>ja</v>
      </c>
      <c r="E20" s="79" t="s">
        <v>37</v>
      </c>
      <c r="F20" s="38"/>
      <c r="G20" s="71"/>
      <c r="H20" s="103"/>
      <c r="I20" s="63"/>
      <c r="J20" s="64"/>
      <c r="K20" s="64"/>
      <c r="L20" s="64"/>
      <c r="M20" s="129"/>
    </row>
    <row r="21" spans="1:13" ht="14" thickBot="1">
      <c r="B21" s="78"/>
      <c r="C21" s="32" t="s">
        <v>38</v>
      </c>
      <c r="D21" s="42">
        <f>IF(D18="ja",0,MAX(D16,D17-D3))</f>
        <v>9923.6641221374048</v>
      </c>
      <c r="E21" s="79"/>
      <c r="F21" s="38"/>
      <c r="G21" s="71"/>
      <c r="H21" s="104">
        <f>D21/D2</f>
        <v>9.9236641221374048E-3</v>
      </c>
      <c r="I21" s="63"/>
      <c r="J21" s="64"/>
      <c r="K21" s="64"/>
      <c r="L21" s="64"/>
      <c r="M21" s="129"/>
    </row>
    <row r="22" spans="1:13" ht="14" thickTop="1">
      <c r="B22" s="46" t="s">
        <v>5</v>
      </c>
      <c r="C22" s="58" t="s">
        <v>39</v>
      </c>
      <c r="D22" s="119"/>
      <c r="E22" s="98" t="s">
        <v>40</v>
      </c>
      <c r="F22" s="60"/>
      <c r="G22" s="58"/>
      <c r="H22" s="106"/>
      <c r="I22" s="63"/>
      <c r="J22" s="64"/>
      <c r="K22" s="130"/>
      <c r="L22" s="64"/>
      <c r="M22" s="129"/>
    </row>
    <row r="23" spans="1:13">
      <c r="B23" s="34"/>
      <c r="C23" s="32" t="s">
        <v>41</v>
      </c>
      <c r="D23" s="123">
        <f>E42*D22/(D10/D14)</f>
        <v>0</v>
      </c>
      <c r="E23" s="37"/>
      <c r="F23" s="38"/>
      <c r="G23" s="32"/>
      <c r="H23" s="96"/>
      <c r="I23" s="63"/>
      <c r="J23" s="64"/>
      <c r="K23" s="130"/>
      <c r="L23" s="64"/>
      <c r="M23" s="129"/>
    </row>
    <row r="24" spans="1:13" ht="14" thickBot="1">
      <c r="B24" s="82"/>
      <c r="C24" s="83" t="s">
        <v>42</v>
      </c>
      <c r="D24" s="124">
        <f>_xlfn.GAMMA.INV(D13,1+D23+E42,D10/(D10/D14+D22))-D16</f>
        <v>29946.57773380847</v>
      </c>
      <c r="E24" s="84" t="str">
        <f>IF(D24&gt;D3,"breid meer uit","voldoende")</f>
        <v>voldoende</v>
      </c>
      <c r="F24" s="44"/>
      <c r="G24" s="83"/>
      <c r="H24" s="105">
        <f>D24/D2</f>
        <v>2.9946577733808471E-2</v>
      </c>
      <c r="I24" s="63"/>
      <c r="J24" s="64"/>
      <c r="K24" s="130"/>
      <c r="L24" s="64"/>
      <c r="M24" s="129"/>
    </row>
    <row r="25" spans="1:13" ht="14" thickTop="1">
      <c r="B25" s="46" t="s">
        <v>50</v>
      </c>
      <c r="C25" s="47"/>
      <c r="D25" s="47"/>
      <c r="E25" s="47"/>
      <c r="F25" s="99" t="s">
        <v>47</v>
      </c>
      <c r="G25" s="32"/>
      <c r="H25" s="27" t="s">
        <v>31</v>
      </c>
      <c r="I25" s="63"/>
      <c r="J25" s="64"/>
      <c r="K25" s="65"/>
      <c r="L25" s="64"/>
      <c r="M25" s="129"/>
    </row>
    <row r="26" spans="1:13">
      <c r="B26" s="85" t="s">
        <v>51</v>
      </c>
      <c r="C26" s="32" t="s">
        <v>43</v>
      </c>
      <c r="D26" s="32" t="s">
        <v>44</v>
      </c>
      <c r="E26" s="32" t="s">
        <v>45</v>
      </c>
      <c r="F26" s="100" t="s">
        <v>46</v>
      </c>
      <c r="G26" s="86">
        <f>ROUNDUP(GAMMAINV($D$13,1,1),2)</f>
        <v>3</v>
      </c>
      <c r="H26" s="87">
        <f>G26*$D$14</f>
        <v>22900.763358778626</v>
      </c>
      <c r="I26" s="63"/>
      <c r="J26" s="64"/>
      <c r="K26" s="64"/>
      <c r="L26" s="64"/>
      <c r="M26" s="129"/>
    </row>
    <row r="27" spans="1:13" ht="16">
      <c r="A27" s="70">
        <v>1</v>
      </c>
      <c r="B27" s="120">
        <v>1000</v>
      </c>
      <c r="C27" s="121"/>
      <c r="D27" s="122">
        <f>B27-C27</f>
        <v>1000</v>
      </c>
      <c r="E27" s="86">
        <f>IF(D27&gt;0,D27/B27,0)</f>
        <v>1</v>
      </c>
      <c r="F27" s="45">
        <f t="shared" ref="F27:F41" si="5">IF(B27&lt;$D$9*$D$14,E27*$D$14,D27)</f>
        <v>7633.5877862595416</v>
      </c>
      <c r="G27" s="86">
        <f t="shared" ref="G27:G41" si="6">IF(B27&gt;C27,E27*ROUNDUP((GAMMAINV($D$13,1+A27,1)-GAMMAINV($D$13,A27,1)),2),0)</f>
        <v>1.75</v>
      </c>
      <c r="H27" s="87">
        <f t="shared" ref="H27:H41" si="7">IF(B27&lt;$D$9*$D$14,G27*$D$14,D27)</f>
        <v>13358.778625954197</v>
      </c>
      <c r="I27" s="63"/>
      <c r="J27" s="64"/>
      <c r="K27" s="66"/>
      <c r="L27" s="64"/>
      <c r="M27" s="129"/>
    </row>
    <row r="28" spans="1:13" ht="16">
      <c r="A28" s="70">
        <f>A27+1</f>
        <v>2</v>
      </c>
      <c r="B28" s="120">
        <v>100</v>
      </c>
      <c r="C28" s="121">
        <v>70</v>
      </c>
      <c r="D28" s="122">
        <f t="shared" ref="D28:D41" si="8">B28-C28</f>
        <v>30</v>
      </c>
      <c r="E28" s="86">
        <f t="shared" ref="E28:E41" si="9">IF(D28&gt;0,D28/B28,0)</f>
        <v>0.3</v>
      </c>
      <c r="F28" s="45">
        <f t="shared" si="5"/>
        <v>2290.0763358778622</v>
      </c>
      <c r="G28" s="86">
        <f t="shared" si="6"/>
        <v>0.46799999999999997</v>
      </c>
      <c r="H28" s="87">
        <f t="shared" si="7"/>
        <v>3572.5190839694651</v>
      </c>
      <c r="I28" s="63"/>
      <c r="J28" s="64"/>
      <c r="K28" s="64"/>
      <c r="L28" s="64"/>
      <c r="M28" s="129"/>
    </row>
    <row r="29" spans="1:13" ht="16">
      <c r="A29" s="70">
        <f t="shared" ref="A29:A41" si="10">A28+1</f>
        <v>3</v>
      </c>
      <c r="B29" s="120"/>
      <c r="C29" s="121"/>
      <c r="D29" s="122">
        <f t="shared" si="8"/>
        <v>0</v>
      </c>
      <c r="E29" s="86">
        <f t="shared" si="9"/>
        <v>0</v>
      </c>
      <c r="F29" s="45">
        <f t="shared" si="5"/>
        <v>0</v>
      </c>
      <c r="G29" s="86">
        <f t="shared" si="6"/>
        <v>0</v>
      </c>
      <c r="H29" s="87">
        <f t="shared" si="7"/>
        <v>0</v>
      </c>
      <c r="I29" s="63"/>
      <c r="J29" s="64"/>
      <c r="K29" s="64"/>
      <c r="L29" s="64"/>
      <c r="M29" s="131"/>
    </row>
    <row r="30" spans="1:13" ht="16">
      <c r="A30" s="70">
        <f t="shared" si="10"/>
        <v>4</v>
      </c>
      <c r="B30" s="120"/>
      <c r="C30" s="121"/>
      <c r="D30" s="122">
        <f t="shared" si="8"/>
        <v>0</v>
      </c>
      <c r="E30" s="86">
        <f t="shared" si="9"/>
        <v>0</v>
      </c>
      <c r="F30" s="45">
        <f t="shared" si="5"/>
        <v>0</v>
      </c>
      <c r="G30" s="86">
        <f t="shared" si="6"/>
        <v>0</v>
      </c>
      <c r="H30" s="87">
        <f t="shared" si="7"/>
        <v>0</v>
      </c>
      <c r="I30" s="63"/>
      <c r="J30" s="64"/>
      <c r="K30" s="64"/>
      <c r="L30" s="64"/>
      <c r="M30" s="131"/>
    </row>
    <row r="31" spans="1:13" ht="16">
      <c r="A31" s="70">
        <f t="shared" si="10"/>
        <v>5</v>
      </c>
      <c r="B31" s="120"/>
      <c r="C31" s="121"/>
      <c r="D31" s="122">
        <f>B31-C31</f>
        <v>0</v>
      </c>
      <c r="E31" s="86">
        <f t="shared" si="9"/>
        <v>0</v>
      </c>
      <c r="F31" s="45">
        <f t="shared" si="5"/>
        <v>0</v>
      </c>
      <c r="G31" s="86">
        <f t="shared" si="6"/>
        <v>0</v>
      </c>
      <c r="H31" s="87">
        <f t="shared" si="7"/>
        <v>0</v>
      </c>
      <c r="I31" s="63"/>
      <c r="J31" s="64"/>
      <c r="K31" s="64"/>
      <c r="L31" s="64"/>
      <c r="M31" s="131"/>
    </row>
    <row r="32" spans="1:13" ht="17" thickBot="1">
      <c r="A32" s="70">
        <f t="shared" si="10"/>
        <v>6</v>
      </c>
      <c r="B32" s="120"/>
      <c r="C32" s="121"/>
      <c r="D32" s="122">
        <f t="shared" si="8"/>
        <v>0</v>
      </c>
      <c r="E32" s="86">
        <f t="shared" si="9"/>
        <v>0</v>
      </c>
      <c r="F32" s="45">
        <f t="shared" si="5"/>
        <v>0</v>
      </c>
      <c r="G32" s="86">
        <f t="shared" si="6"/>
        <v>0</v>
      </c>
      <c r="H32" s="87">
        <f t="shared" si="7"/>
        <v>0</v>
      </c>
      <c r="I32" s="67"/>
      <c r="J32" s="68"/>
      <c r="K32" s="68"/>
      <c r="L32" s="68"/>
      <c r="M32" s="132"/>
    </row>
    <row r="33" spans="1:13" ht="17" thickTop="1">
      <c r="A33" s="70">
        <f t="shared" si="10"/>
        <v>7</v>
      </c>
      <c r="B33" s="120"/>
      <c r="C33" s="121"/>
      <c r="D33" s="122">
        <f t="shared" si="8"/>
        <v>0</v>
      </c>
      <c r="E33" s="86">
        <f t="shared" si="9"/>
        <v>0</v>
      </c>
      <c r="F33" s="45">
        <f t="shared" si="5"/>
        <v>0</v>
      </c>
      <c r="G33" s="86">
        <f t="shared" si="6"/>
        <v>0</v>
      </c>
      <c r="H33" s="87">
        <f t="shared" si="7"/>
        <v>0</v>
      </c>
      <c r="M33" s="89"/>
    </row>
    <row r="34" spans="1:13" ht="16">
      <c r="A34" s="70">
        <f t="shared" si="10"/>
        <v>8</v>
      </c>
      <c r="B34" s="120"/>
      <c r="C34" s="121"/>
      <c r="D34" s="122">
        <f t="shared" si="8"/>
        <v>0</v>
      </c>
      <c r="E34" s="86">
        <f t="shared" si="9"/>
        <v>0</v>
      </c>
      <c r="F34" s="45">
        <f t="shared" si="5"/>
        <v>0</v>
      </c>
      <c r="G34" s="86">
        <f t="shared" si="6"/>
        <v>0</v>
      </c>
      <c r="H34" s="87">
        <f t="shared" si="7"/>
        <v>0</v>
      </c>
      <c r="M34" s="89"/>
    </row>
    <row r="35" spans="1:13" ht="16">
      <c r="A35" s="70">
        <f t="shared" si="10"/>
        <v>9</v>
      </c>
      <c r="B35" s="120"/>
      <c r="C35" s="121"/>
      <c r="D35" s="122">
        <f t="shared" si="8"/>
        <v>0</v>
      </c>
      <c r="E35" s="86">
        <f t="shared" si="9"/>
        <v>0</v>
      </c>
      <c r="F35" s="45">
        <f t="shared" si="5"/>
        <v>0</v>
      </c>
      <c r="G35" s="86">
        <f t="shared" si="6"/>
        <v>0</v>
      </c>
      <c r="H35" s="87">
        <f t="shared" si="7"/>
        <v>0</v>
      </c>
      <c r="M35" s="89"/>
    </row>
    <row r="36" spans="1:13" ht="16">
      <c r="A36" s="70">
        <f t="shared" si="10"/>
        <v>10</v>
      </c>
      <c r="B36" s="120"/>
      <c r="C36" s="121"/>
      <c r="D36" s="122">
        <f t="shared" si="8"/>
        <v>0</v>
      </c>
      <c r="E36" s="86">
        <f t="shared" si="9"/>
        <v>0</v>
      </c>
      <c r="F36" s="45">
        <f t="shared" si="5"/>
        <v>0</v>
      </c>
      <c r="G36" s="86">
        <f t="shared" si="6"/>
        <v>0</v>
      </c>
      <c r="H36" s="87">
        <f t="shared" si="7"/>
        <v>0</v>
      </c>
      <c r="M36" s="89"/>
    </row>
    <row r="37" spans="1:13" ht="16">
      <c r="A37" s="70">
        <f t="shared" si="10"/>
        <v>11</v>
      </c>
      <c r="B37" s="120"/>
      <c r="C37" s="121"/>
      <c r="D37" s="122">
        <f t="shared" si="8"/>
        <v>0</v>
      </c>
      <c r="E37" s="86">
        <f t="shared" si="9"/>
        <v>0</v>
      </c>
      <c r="F37" s="45">
        <f t="shared" si="5"/>
        <v>0</v>
      </c>
      <c r="G37" s="86">
        <f t="shared" si="6"/>
        <v>0</v>
      </c>
      <c r="H37" s="87">
        <f t="shared" si="7"/>
        <v>0</v>
      </c>
      <c r="M37" s="89"/>
    </row>
    <row r="38" spans="1:13" ht="16">
      <c r="A38" s="70">
        <f t="shared" si="10"/>
        <v>12</v>
      </c>
      <c r="B38" s="120"/>
      <c r="C38" s="121"/>
      <c r="D38" s="122">
        <f t="shared" si="8"/>
        <v>0</v>
      </c>
      <c r="E38" s="86">
        <f t="shared" si="9"/>
        <v>0</v>
      </c>
      <c r="F38" s="45">
        <f t="shared" si="5"/>
        <v>0</v>
      </c>
      <c r="G38" s="86">
        <f t="shared" si="6"/>
        <v>0</v>
      </c>
      <c r="H38" s="87">
        <f t="shared" si="7"/>
        <v>0</v>
      </c>
      <c r="M38" s="89"/>
    </row>
    <row r="39" spans="1:13" ht="16">
      <c r="A39" s="70">
        <f t="shared" si="10"/>
        <v>13</v>
      </c>
      <c r="B39" s="120"/>
      <c r="C39" s="121"/>
      <c r="D39" s="122">
        <f t="shared" si="8"/>
        <v>0</v>
      </c>
      <c r="E39" s="86">
        <f t="shared" si="9"/>
        <v>0</v>
      </c>
      <c r="F39" s="45">
        <f t="shared" si="5"/>
        <v>0</v>
      </c>
      <c r="G39" s="86">
        <f t="shared" si="6"/>
        <v>0</v>
      </c>
      <c r="H39" s="87">
        <f t="shared" si="7"/>
        <v>0</v>
      </c>
      <c r="M39" s="89"/>
    </row>
    <row r="40" spans="1:13" ht="16">
      <c r="A40" s="70">
        <f t="shared" si="10"/>
        <v>14</v>
      </c>
      <c r="B40" s="120"/>
      <c r="C40" s="121"/>
      <c r="D40" s="122">
        <f t="shared" si="8"/>
        <v>0</v>
      </c>
      <c r="E40" s="86">
        <f t="shared" si="9"/>
        <v>0</v>
      </c>
      <c r="F40" s="45">
        <f t="shared" si="5"/>
        <v>0</v>
      </c>
      <c r="G40" s="86">
        <f t="shared" si="6"/>
        <v>0</v>
      </c>
      <c r="H40" s="87">
        <f t="shared" si="7"/>
        <v>0</v>
      </c>
      <c r="M40" s="89"/>
    </row>
    <row r="41" spans="1:13" ht="17" thickBot="1">
      <c r="A41" s="70">
        <f t="shared" si="10"/>
        <v>15</v>
      </c>
      <c r="B41" s="120"/>
      <c r="C41" s="121"/>
      <c r="D41" s="122">
        <f t="shared" si="8"/>
        <v>0</v>
      </c>
      <c r="E41" s="86">
        <f t="shared" si="9"/>
        <v>0</v>
      </c>
      <c r="F41" s="45">
        <f t="shared" si="5"/>
        <v>0</v>
      </c>
      <c r="G41" s="86">
        <f t="shared" si="6"/>
        <v>0</v>
      </c>
      <c r="H41" s="87">
        <f t="shared" si="7"/>
        <v>0</v>
      </c>
      <c r="M41" s="89"/>
    </row>
    <row r="42" spans="1:13" ht="15" thickTop="1" thickBot="1">
      <c r="B42" s="90">
        <f>SUM(B27:B41)</f>
        <v>1100</v>
      </c>
      <c r="C42" s="91">
        <f>SUM(C27:C41)</f>
        <v>70</v>
      </c>
      <c r="D42" s="91">
        <f>SUM(D27:D41)</f>
        <v>1030</v>
      </c>
      <c r="E42" s="92">
        <f>SUM(E27:E41)</f>
        <v>1.3</v>
      </c>
      <c r="F42" s="93">
        <f>SUM(F27:F41)</f>
        <v>9923.6641221374048</v>
      </c>
      <c r="G42" s="93"/>
      <c r="H42" s="94">
        <f>SUM(H26:H41)</f>
        <v>39832.061068702285</v>
      </c>
      <c r="M42" s="89"/>
    </row>
    <row r="43" spans="1:13" ht="14" thickTop="1">
      <c r="M43" s="89"/>
    </row>
  </sheetData>
  <sheetProtection algorithmName="SHA-512" hashValue="t4HZPh0WHWcBFlxKXIpMnljOr5T8SyrYN/zEVs/zdqfbegMBJAQduENfwveTyPtFUZCeYmGGu4ZKjr71SFVm/w==" saltValue="GLtPMb/EMORul2INxfI3rg==" spinCount="100000" sheet="1" objects="1" scenarios="1" formatColumns="0" selectLockedCells="1"/>
  <dataConsolidate/>
  <phoneticPr fontId="3" type="noConversion"/>
  <dataValidations count="1">
    <dataValidation type="list" allowBlank="1" showInputMessage="1" showErrorMessage="1" sqref="D9" xr:uid="{00000000-0002-0000-0000-000000000000}">
      <formula1>$H$2:$H$3</formula1>
    </dataValidation>
  </dataValidations>
  <printOptions gridLinesSet="0"/>
  <pageMargins left="0.75" right="0.75" top="1" bottom="1" header="0.5" footer="0.5"/>
  <pageSetup paperSize="9" orientation="portrait" horizontalDpi="4294967292" verticalDpi="4294967292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SMart Audit Sampling Help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Micro Support Center A</dc:creator>
  <dc:description>Smash v.02 documenten</dc:description>
  <cp:lastModifiedBy>Microsoft Office-gebruiker</cp:lastModifiedBy>
  <cp:lastPrinted>2005-08-05T07:21:10Z</cp:lastPrinted>
  <dcterms:created xsi:type="dcterms:W3CDTF">1999-01-06T09:15:33Z</dcterms:created>
  <dcterms:modified xsi:type="dcterms:W3CDTF">2021-04-16T13:16:07Z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 of receiving or sending">
    <vt:filetime>2003-01-28T12:00:00Z</vt:filetime>
  </property>
</Properties>
</file>