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cvanb/Documents/Paul/zip tools 4/Smash/nieuwe versies/"/>
    </mc:Choice>
  </mc:AlternateContent>
  <xr:revisionPtr revIDLastSave="0" documentId="13_ncr:1_{6BB4513C-179F-5540-8E18-F7BD29A7EA1B}" xr6:coauthVersionLast="45" xr6:coauthVersionMax="45" xr10:uidLastSave="{00000000-0000-0000-0000-000000000000}"/>
  <bookViews>
    <workbookView showSheetTabs="0" xWindow="940" yWindow="980" windowWidth="36540" windowHeight="20080" xr2:uid="{00000000-000D-0000-FFFF-FFFF00000000}"/>
  </bookViews>
  <sheets>
    <sheet name="SMart Audit Sampling Help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D9" i="1"/>
  <c r="E6" i="1"/>
  <c r="G41" i="1"/>
  <c r="G31" i="1"/>
  <c r="G32" i="1"/>
  <c r="G33" i="1"/>
  <c r="G34" i="1"/>
  <c r="G35" i="1"/>
  <c r="G36" i="1"/>
  <c r="G37" i="1"/>
  <c r="G38" i="1"/>
  <c r="G39" i="1"/>
  <c r="G40" i="1"/>
  <c r="G26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M12" i="1" l="1"/>
  <c r="K12" i="1" s="1"/>
  <c r="M13" i="1"/>
  <c r="K13" i="1" s="1"/>
  <c r="M14" i="1"/>
  <c r="K14" i="1" s="1"/>
  <c r="M15" i="1"/>
  <c r="K15" i="1" s="1"/>
  <c r="M16" i="1"/>
  <c r="K16" i="1" s="1"/>
  <c r="M17" i="1"/>
  <c r="K17" i="1" s="1"/>
  <c r="D27" i="1" l="1"/>
  <c r="L16" i="1"/>
  <c r="L13" i="1" l="1"/>
  <c r="L14" i="1"/>
  <c r="L15" i="1"/>
  <c r="L17" i="1"/>
  <c r="D11" i="1"/>
  <c r="A28" i="1"/>
  <c r="A29" i="1" s="1"/>
  <c r="A30" i="1" s="1"/>
  <c r="A31" i="1" s="1"/>
  <c r="A32" i="1" s="1"/>
  <c r="A33" i="1" s="1"/>
  <c r="E41" i="1"/>
  <c r="E40" i="1"/>
  <c r="E39" i="1"/>
  <c r="E38" i="1"/>
  <c r="E37" i="1"/>
  <c r="E36" i="1"/>
  <c r="E35" i="1"/>
  <c r="E34" i="1"/>
  <c r="E33" i="1"/>
  <c r="E32" i="1"/>
  <c r="E31" i="1"/>
  <c r="E30" i="1"/>
  <c r="G30" i="1" s="1"/>
  <c r="E29" i="1"/>
  <c r="G29" i="1" s="1"/>
  <c r="E28" i="1"/>
  <c r="G28" i="1" s="1"/>
  <c r="A34" i="1" l="1"/>
  <c r="E27" i="1"/>
  <c r="G27" i="1" s="1"/>
  <c r="A35" i="1" l="1"/>
  <c r="D42" i="1"/>
  <c r="A36" i="1" l="1"/>
  <c r="B42" i="1"/>
  <c r="C42" i="1"/>
  <c r="M2" i="1"/>
  <c r="K2" i="1" s="1"/>
  <c r="M3" i="1"/>
  <c r="K3" i="1" s="1"/>
  <c r="M4" i="1"/>
  <c r="K4" i="1" s="1"/>
  <c r="M5" i="1"/>
  <c r="K5" i="1" s="1"/>
  <c r="M6" i="1"/>
  <c r="K6" i="1" s="1"/>
  <c r="M7" i="1"/>
  <c r="K7" i="1" s="1"/>
  <c r="M8" i="1"/>
  <c r="K8" i="1" s="1"/>
  <c r="M9" i="1"/>
  <c r="K9" i="1" s="1"/>
  <c r="M10" i="1"/>
  <c r="K10" i="1" s="1"/>
  <c r="M11" i="1"/>
  <c r="K11" i="1" s="1"/>
  <c r="L12" i="1" s="1"/>
  <c r="M1" i="1"/>
  <c r="K1" i="1" s="1"/>
  <c r="A37" i="1" l="1"/>
  <c r="E42" i="1"/>
  <c r="A38" i="1" l="1"/>
  <c r="A39" i="1" s="1"/>
  <c r="A40" i="1" s="1"/>
  <c r="A41" i="1" s="1"/>
  <c r="L1" i="1"/>
  <c r="L9" i="1"/>
  <c r="L10" i="1"/>
  <c r="L2" i="1"/>
  <c r="L7" i="1"/>
  <c r="L4" i="1"/>
  <c r="L5" i="1"/>
  <c r="L11" i="1"/>
  <c r="L8" i="1"/>
  <c r="L3" i="1"/>
  <c r="L6" i="1"/>
  <c r="I1" i="1" l="1"/>
  <c r="D8" i="1" s="1"/>
  <c r="F7" i="1" s="1"/>
  <c r="H6" i="1"/>
  <c r="G6" i="1" s="1"/>
  <c r="H7" i="1" l="1"/>
  <c r="G7" i="1" l="1"/>
  <c r="D13" i="1" l="1"/>
  <c r="D22" i="1" s="1"/>
  <c r="H31" i="1" l="1"/>
  <c r="H39" i="1"/>
  <c r="F34" i="1"/>
  <c r="F27" i="1"/>
  <c r="H32" i="1"/>
  <c r="H40" i="1"/>
  <c r="F35" i="1"/>
  <c r="H33" i="1"/>
  <c r="H41" i="1"/>
  <c r="F28" i="1"/>
  <c r="F36" i="1"/>
  <c r="F31" i="1"/>
  <c r="H37" i="1"/>
  <c r="F40" i="1"/>
  <c r="H30" i="1"/>
  <c r="F33" i="1"/>
  <c r="H34" i="1"/>
  <c r="H27" i="1"/>
  <c r="F29" i="1"/>
  <c r="F37" i="1"/>
  <c r="H35" i="1"/>
  <c r="F30" i="1"/>
  <c r="F38" i="1"/>
  <c r="H28" i="1"/>
  <c r="H36" i="1"/>
  <c r="F39" i="1"/>
  <c r="H29" i="1"/>
  <c r="F32" i="1"/>
  <c r="H38" i="1"/>
  <c r="F41" i="1"/>
  <c r="H26" i="1"/>
  <c r="D14" i="1"/>
  <c r="H14" i="1" s="1"/>
  <c r="H42" i="1" l="1"/>
  <c r="D16" i="1" s="1"/>
  <c r="F42" i="1"/>
  <c r="D15" i="1" s="1"/>
  <c r="H15" i="1" l="1"/>
  <c r="D23" i="1"/>
  <c r="H16" i="1"/>
  <c r="D18" i="1"/>
  <c r="H18" i="1" s="1"/>
  <c r="D19" i="1"/>
  <c r="D17" i="1"/>
  <c r="D20" i="1" s="1"/>
  <c r="H20" i="1" s="1"/>
  <c r="E23" i="1" l="1"/>
  <c r="H23" i="1"/>
</calcChain>
</file>

<file path=xl/sharedStrings.xml><?xml version="1.0" encoding="utf-8"?>
<sst xmlns="http://schemas.openxmlformats.org/spreadsheetml/2006/main" count="52" uniqueCount="51">
  <si>
    <t>sample size</t>
  </si>
  <si>
    <t>interval</t>
  </si>
  <si>
    <t xml:space="preserve">Population amount </t>
  </si>
  <si>
    <t>R factor</t>
  </si>
  <si>
    <t>SMart Audit Sampling Helpfile SMASH</t>
  </si>
  <si>
    <t>Work sufficient to estimate overstatement?</t>
  </si>
  <si>
    <t>Required entity adjustment</t>
  </si>
  <si>
    <t>Recorded</t>
  </si>
  <si>
    <t>Audited</t>
  </si>
  <si>
    <t>Work sufficient to accept population?</t>
  </si>
  <si>
    <t>Interval</t>
  </si>
  <si>
    <t>Final population amount</t>
  </si>
  <si>
    <t>Final sample size</t>
  </si>
  <si>
    <t>Precision</t>
  </si>
  <si>
    <t>Sample expansion</t>
  </si>
  <si>
    <t>New Precision</t>
  </si>
  <si>
    <t>sample expansion cannot lead to acceptance without increased risk</t>
  </si>
  <si>
    <t>Difference (Error)</t>
  </si>
  <si>
    <t>Precision Gap</t>
  </si>
  <si>
    <t>Overstatement Fraction</t>
  </si>
  <si>
    <t>AICPA Audit Sampling Guide app C</t>
  </si>
  <si>
    <t>Audit Inputs</t>
  </si>
  <si>
    <t xml:space="preserve">Sample design </t>
  </si>
  <si>
    <t>assurance</t>
  </si>
  <si>
    <t>Expected sample overstatement proportion</t>
  </si>
  <si>
    <t xml:space="preserve">Evaluation </t>
  </si>
  <si>
    <t>V21.1 09-02-2021</t>
  </si>
  <si>
    <t>Conclusion</t>
  </si>
  <si>
    <t>Minimum Misstatement</t>
  </si>
  <si>
    <t>Projected Misstatement</t>
  </si>
  <si>
    <t>Maximum Misstatement</t>
  </si>
  <si>
    <t>(Performance) Materiality for this population</t>
  </si>
  <si>
    <t>recorded balance of positive and negative amounts requiring opinion</t>
  </si>
  <si>
    <t>total of positive amounts from which sample was selected</t>
  </si>
  <si>
    <t>difference from design value due to rounding?</t>
  </si>
  <si>
    <t>compare Maximum Misstatement to Performance Materiality</t>
  </si>
  <si>
    <t>Maximum minus Projected Misstatement</t>
  </si>
  <si>
    <t>compare Precision to Performance Materiality</t>
  </si>
  <si>
    <t>Required assurance  for evaluation</t>
  </si>
  <si>
    <t>Corresponding Interval</t>
  </si>
  <si>
    <t>Unlocked cells for remarks</t>
  </si>
  <si>
    <t>use 95% if risk and control reliance maintain unchanged, inspite of misstatements detected</t>
  </si>
  <si>
    <t>Tolerable Misstatement (= D3 when D7&gt;0)</t>
  </si>
  <si>
    <r>
      <t xml:space="preserve">Presumed misstatement </t>
    </r>
    <r>
      <rPr>
        <u/>
        <sz val="10"/>
        <rFont val="MS Sans Serif"/>
        <family val="2"/>
      </rPr>
      <t>amount (0</t>
    </r>
    <r>
      <rPr>
        <sz val="10"/>
        <rFont val="MS Sans Serif"/>
        <family val="2"/>
      </rPr>
      <t xml:space="preserve"> when D4&lt;D3)</t>
    </r>
  </si>
  <si>
    <t>Expected additional misstatetements</t>
  </si>
  <si>
    <t xml:space="preserve">Sample selection using systematic (1) or cell sampling (2) ? </t>
  </si>
  <si>
    <t>Expansion</t>
  </si>
  <si>
    <t>Sort results from largest to smallest overstatement amounts and add top stratum items at the end</t>
  </si>
  <si>
    <t>Misstatement</t>
  </si>
  <si>
    <t>Projected</t>
  </si>
  <si>
    <t>disclaimer on steekproeven.eu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</si>
</sst>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u/>
      <sz val="9"/>
      <color indexed="12"/>
      <name val="MS Sans Serif"/>
      <family val="2"/>
    </font>
    <font>
      <sz val="10"/>
      <color indexed="39"/>
      <name val="MS Sans Serif"/>
      <family val="2"/>
    </font>
    <font>
      <i/>
      <sz val="10"/>
      <name val="Arial"/>
      <family val="2"/>
    </font>
    <font>
      <u/>
      <sz val="10"/>
      <name val="MS Sans Serif"/>
      <family val="2"/>
    </font>
    <font>
      <sz val="10"/>
      <color theme="3"/>
      <name val="MS Sans Serif"/>
      <family val="2"/>
    </font>
    <font>
      <sz val="12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MS Sans Serif"/>
      <family val="2"/>
    </font>
    <font>
      <sz val="9"/>
      <color rgb="FFFF0000"/>
      <name val="MS Sans Serif"/>
    </font>
    <font>
      <sz val="10"/>
      <color theme="4" tint="0.59996337778862885"/>
      <name val="MS Sans Serif"/>
      <family val="2"/>
    </font>
    <font>
      <sz val="10"/>
      <color rgb="FFFF0000"/>
      <name val="MS Sans Serif"/>
    </font>
    <font>
      <sz val="10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4">
    <xf numFmtId="0" fontId="0" fillId="0" borderId="0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</cellStyleXfs>
  <cellXfs count="126">
    <xf numFmtId="0" fontId="0" fillId="0" borderId="0" xfId="0"/>
    <xf numFmtId="3" fontId="6" fillId="0" borderId="16" xfId="0" quotePrefix="1" applyNumberFormat="1" applyFont="1" applyFill="1" applyBorder="1" applyAlignment="1" applyProtection="1">
      <alignment horizontal="right"/>
      <protection locked="0"/>
    </xf>
    <xf numFmtId="3" fontId="6" fillId="0" borderId="7" xfId="0" quotePrefix="1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center"/>
      <protection hidden="1"/>
    </xf>
    <xf numFmtId="2" fontId="0" fillId="2" borderId="10" xfId="0" applyNumberFormat="1" applyFill="1" applyBorder="1" applyAlignment="1" applyProtection="1">
      <alignment horizontal="center"/>
      <protection hidden="1"/>
    </xf>
    <xf numFmtId="2" fontId="0" fillId="2" borderId="21" xfId="0" applyNumberFormat="1" applyFill="1" applyBorder="1" applyAlignment="1" applyProtection="1">
      <alignment horizontal="center"/>
      <protection hidden="1"/>
    </xf>
    <xf numFmtId="0" fontId="0" fillId="2" borderId="28" xfId="0" applyFill="1" applyBorder="1" applyProtection="1">
      <protection hidden="1"/>
    </xf>
    <xf numFmtId="0" fontId="0" fillId="2" borderId="5" xfId="0" applyFill="1" applyBorder="1" applyProtection="1">
      <protection hidden="1"/>
    </xf>
    <xf numFmtId="9" fontId="0" fillId="2" borderId="5" xfId="0" applyNumberFormat="1" applyFill="1" applyBorder="1" applyProtection="1">
      <protection hidden="1"/>
    </xf>
    <xf numFmtId="0" fontId="0" fillId="2" borderId="5" xfId="0" applyFill="1" applyBorder="1" applyAlignment="1" applyProtection="1">
      <alignment horizontal="center"/>
      <protection hidden="1"/>
    </xf>
    <xf numFmtId="2" fontId="2" fillId="2" borderId="1" xfId="0" applyNumberFormat="1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9" fontId="0" fillId="2" borderId="0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2" borderId="20" xfId="0" applyFill="1" applyBorder="1" applyProtection="1">
      <protection hidden="1"/>
    </xf>
    <xf numFmtId="9" fontId="0" fillId="2" borderId="20" xfId="0" applyNumberFormat="1" applyFill="1" applyBorder="1" applyProtection="1">
      <protection hidden="1"/>
    </xf>
    <xf numFmtId="0" fontId="0" fillId="2" borderId="20" xfId="0" applyFill="1" applyBorder="1" applyAlignment="1" applyProtection="1">
      <alignment horizontal="center"/>
      <protection hidden="1"/>
    </xf>
    <xf numFmtId="0" fontId="0" fillId="3" borderId="26" xfId="0" applyFill="1" applyBorder="1" applyAlignment="1" applyProtection="1">
      <alignment horizontal="right"/>
      <protection hidden="1"/>
    </xf>
    <xf numFmtId="0" fontId="1" fillId="3" borderId="30" xfId="0" applyFont="1" applyFill="1" applyBorder="1" applyAlignment="1" applyProtection="1">
      <alignment horizontal="left"/>
      <protection hidden="1"/>
    </xf>
    <xf numFmtId="0" fontId="2" fillId="3" borderId="22" xfId="0" quotePrefix="1" applyFont="1" applyFill="1" applyBorder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left"/>
      <protection hidden="1"/>
    </xf>
    <xf numFmtId="0" fontId="2" fillId="3" borderId="22" xfId="0" applyFont="1" applyFill="1" applyBorder="1" applyAlignment="1" applyProtection="1">
      <alignment horizontal="right"/>
      <protection hidden="1"/>
    </xf>
    <xf numFmtId="0" fontId="2" fillId="3" borderId="24" xfId="0" applyFont="1" applyFill="1" applyBorder="1" applyAlignment="1" applyProtection="1">
      <alignment horizontal="right"/>
      <protection hidden="1"/>
    </xf>
    <xf numFmtId="0" fontId="2" fillId="3" borderId="15" xfId="0" applyFont="1" applyFill="1" applyBorder="1" applyAlignment="1" applyProtection="1">
      <alignment horizontal="right"/>
      <protection hidden="1"/>
    </xf>
    <xf numFmtId="0" fontId="2" fillId="3" borderId="13" xfId="0" applyFont="1" applyFill="1" applyBorder="1" applyAlignment="1" applyProtection="1">
      <alignment horizontal="right"/>
      <protection hidden="1"/>
    </xf>
    <xf numFmtId="0" fontId="2" fillId="3" borderId="13" xfId="0" quotePrefix="1" applyFont="1" applyFill="1" applyBorder="1" applyAlignment="1" applyProtection="1">
      <alignment horizontal="right"/>
      <protection hidden="1"/>
    </xf>
    <xf numFmtId="0" fontId="2" fillId="3" borderId="14" xfId="0" applyFont="1" applyFill="1" applyBorder="1" applyAlignment="1" applyProtection="1">
      <alignment horizontal="right"/>
      <protection hidden="1"/>
    </xf>
    <xf numFmtId="0" fontId="2" fillId="3" borderId="10" xfId="0" applyFont="1" applyFill="1" applyBorder="1" applyAlignment="1" applyProtection="1">
      <alignment horizontal="right"/>
      <protection hidden="1"/>
    </xf>
    <xf numFmtId="2" fontId="2" fillId="3" borderId="18" xfId="0" applyNumberFormat="1" applyFont="1" applyFill="1" applyBorder="1" applyAlignment="1" applyProtection="1">
      <alignment horizontal="right"/>
      <protection hidden="1"/>
    </xf>
    <xf numFmtId="9" fontId="2" fillId="3" borderId="2" xfId="0" applyNumberFormat="1" applyFont="1" applyFill="1" applyBorder="1" applyAlignment="1" applyProtection="1">
      <alignment horizontal="right"/>
      <protection hidden="1"/>
    </xf>
    <xf numFmtId="0" fontId="2" fillId="3" borderId="3" xfId="0" applyFont="1" applyFill="1" applyBorder="1" applyAlignment="1" applyProtection="1">
      <alignment horizontal="right"/>
      <protection hidden="1"/>
    </xf>
    <xf numFmtId="3" fontId="2" fillId="3" borderId="4" xfId="0" applyNumberFormat="1" applyFont="1" applyFill="1" applyBorder="1" applyAlignment="1" applyProtection="1">
      <alignment horizontal="right"/>
      <protection hidden="1"/>
    </xf>
    <xf numFmtId="0" fontId="2" fillId="3" borderId="0" xfId="0" applyFont="1" applyFill="1" applyBorder="1" applyAlignment="1" applyProtection="1">
      <alignment horizontal="right"/>
      <protection hidden="1"/>
    </xf>
    <xf numFmtId="4" fontId="2" fillId="3" borderId="17" xfId="0" applyNumberFormat="1" applyFont="1" applyFill="1" applyBorder="1" applyAlignment="1" applyProtection="1">
      <alignment horizontal="right"/>
      <protection hidden="1"/>
    </xf>
    <xf numFmtId="10" fontId="7" fillId="3" borderId="1" xfId="0" applyNumberFormat="1" applyFont="1" applyFill="1" applyBorder="1" applyAlignment="1" applyProtection="1">
      <alignment horizontal="left"/>
      <protection hidden="1"/>
    </xf>
    <xf numFmtId="10" fontId="12" fillId="3" borderId="1" xfId="0" applyNumberFormat="1" applyFont="1" applyFill="1" applyBorder="1" applyAlignment="1" applyProtection="1">
      <alignment horizontal="left"/>
      <protection hidden="1"/>
    </xf>
    <xf numFmtId="2" fontId="12" fillId="3" borderId="0" xfId="0" applyNumberFormat="1" applyFont="1" applyFill="1" applyBorder="1" applyProtection="1">
      <protection hidden="1"/>
    </xf>
    <xf numFmtId="10" fontId="2" fillId="3" borderId="1" xfId="0" applyNumberFormat="1" applyFont="1" applyFill="1" applyBorder="1" applyAlignment="1" applyProtection="1">
      <alignment horizontal="left"/>
      <protection hidden="1"/>
    </xf>
    <xf numFmtId="2" fontId="2" fillId="3" borderId="0" xfId="0" applyNumberFormat="1" applyFont="1" applyFill="1" applyBorder="1" applyProtection="1">
      <protection hidden="1"/>
    </xf>
    <xf numFmtId="3" fontId="2" fillId="3" borderId="27" xfId="0" applyNumberFormat="1" applyFont="1" applyFill="1" applyBorder="1" applyAlignment="1" applyProtection="1">
      <alignment horizontal="right"/>
      <protection hidden="1"/>
    </xf>
    <xf numFmtId="3" fontId="2" fillId="3" borderId="0" xfId="0" applyNumberFormat="1" applyFont="1" applyFill="1" applyBorder="1" applyProtection="1">
      <protection hidden="1"/>
    </xf>
    <xf numFmtId="3" fontId="2" fillId="3" borderId="12" xfId="0" applyNumberFormat="1" applyFont="1" applyFill="1" applyBorder="1" applyAlignment="1" applyProtection="1">
      <alignment horizontal="right"/>
      <protection hidden="1"/>
    </xf>
    <xf numFmtId="3" fontId="2" fillId="3" borderId="11" xfId="0" applyNumberFormat="1" applyFont="1" applyFill="1" applyBorder="1" applyAlignment="1" applyProtection="1">
      <alignment horizontal="right"/>
      <protection hidden="1"/>
    </xf>
    <xf numFmtId="0" fontId="2" fillId="3" borderId="12" xfId="0" applyFont="1" applyFill="1" applyBorder="1" applyAlignment="1" applyProtection="1">
      <alignment horizontal="right"/>
      <protection hidden="1"/>
    </xf>
    <xf numFmtId="2" fontId="2" fillId="3" borderId="20" xfId="0" applyNumberFormat="1" applyFont="1" applyFill="1" applyBorder="1" applyProtection="1">
      <protection hidden="1"/>
    </xf>
    <xf numFmtId="3" fontId="2" fillId="3" borderId="0" xfId="0" applyNumberFormat="1" applyFont="1" applyFill="1" applyBorder="1" applyAlignment="1" applyProtection="1">
      <alignment horizontal="right"/>
      <protection hidden="1"/>
    </xf>
    <xf numFmtId="0" fontId="4" fillId="3" borderId="28" xfId="0" applyFont="1" applyFill="1" applyBorder="1" applyAlignment="1" applyProtection="1">
      <alignment horizontal="left"/>
      <protection hidden="1"/>
    </xf>
    <xf numFmtId="0" fontId="4" fillId="3" borderId="5" xfId="0" applyFont="1" applyFill="1" applyBorder="1" applyAlignment="1" applyProtection="1">
      <alignment horizontal="left"/>
      <protection hidden="1"/>
    </xf>
    <xf numFmtId="0" fontId="1" fillId="3" borderId="1" xfId="0" quotePrefix="1" applyFont="1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right"/>
      <protection hidden="1"/>
    </xf>
    <xf numFmtId="2" fontId="2" fillId="3" borderId="30" xfId="0" applyNumberFormat="1" applyFont="1" applyFill="1" applyBorder="1" applyProtection="1">
      <protection hidden="1"/>
    </xf>
    <xf numFmtId="2" fontId="2" fillId="3" borderId="26" xfId="0" applyNumberFormat="1" applyFont="1" applyFill="1" applyBorder="1" applyProtection="1">
      <protection hidden="1"/>
    </xf>
    <xf numFmtId="0" fontId="13" fillId="3" borderId="1" xfId="0" applyFont="1" applyFill="1" applyBorder="1" applyAlignment="1" applyProtection="1">
      <alignment horizontal="left"/>
      <protection hidden="1"/>
    </xf>
    <xf numFmtId="0" fontId="2" fillId="3" borderId="26" xfId="0" applyFont="1" applyFill="1" applyBorder="1" applyAlignment="1" applyProtection="1">
      <alignment horizontal="left"/>
      <protection hidden="1"/>
    </xf>
    <xf numFmtId="0" fontId="2" fillId="3" borderId="26" xfId="0" quotePrefix="1" applyFont="1" applyFill="1" applyBorder="1" applyAlignment="1" applyProtection="1">
      <alignment horizontal="right"/>
      <protection hidden="1"/>
    </xf>
    <xf numFmtId="0" fontId="2" fillId="3" borderId="30" xfId="0" applyFont="1" applyFill="1" applyBorder="1" applyAlignment="1" applyProtection="1">
      <alignment horizontal="right"/>
      <protection hidden="1"/>
    </xf>
    <xf numFmtId="0" fontId="12" fillId="3" borderId="26" xfId="0" applyFont="1" applyFill="1" applyBorder="1" applyAlignment="1" applyProtection="1">
      <alignment horizontal="left"/>
      <protection hidden="1"/>
    </xf>
    <xf numFmtId="3" fontId="6" fillId="0" borderId="36" xfId="0" applyNumberFormat="1" applyFont="1" applyFill="1" applyBorder="1" applyAlignment="1" applyProtection="1">
      <alignment horizontal="right"/>
      <protection locked="0"/>
    </xf>
    <xf numFmtId="164" fontId="2" fillId="3" borderId="37" xfId="0" applyNumberFormat="1" applyFont="1" applyFill="1" applyBorder="1" applyAlignment="1" applyProtection="1">
      <alignment horizontal="right"/>
      <protection hidden="1"/>
    </xf>
    <xf numFmtId="3" fontId="2" fillId="3" borderId="38" xfId="0" applyNumberFormat="1" applyFont="1" applyFill="1" applyBorder="1" applyAlignment="1" applyProtection="1">
      <alignment horizontal="right"/>
      <protection hidden="1"/>
    </xf>
    <xf numFmtId="0" fontId="2" fillId="3" borderId="5" xfId="0" applyFont="1" applyFill="1" applyBorder="1" applyAlignment="1" applyProtection="1">
      <alignment horizontal="right"/>
      <protection hidden="1"/>
    </xf>
    <xf numFmtId="3" fontId="2" fillId="3" borderId="39" xfId="0" applyNumberFormat="1" applyFont="1" applyFill="1" applyBorder="1" applyAlignment="1" applyProtection="1">
      <alignment horizontal="right"/>
      <protection hidden="1"/>
    </xf>
    <xf numFmtId="2" fontId="2" fillId="3" borderId="5" xfId="0" applyNumberFormat="1" applyFont="1" applyFill="1" applyBorder="1" applyProtection="1">
      <protection hidden="1"/>
    </xf>
    <xf numFmtId="9" fontId="6" fillId="0" borderId="36" xfId="0" applyNumberFormat="1" applyFont="1" applyFill="1" applyBorder="1" applyAlignment="1" applyProtection="1">
      <alignment horizontal="right"/>
      <protection locked="0"/>
    </xf>
    <xf numFmtId="0" fontId="2" fillId="0" borderId="28" xfId="0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2" fillId="0" borderId="33" xfId="2" applyFill="1" applyBorder="1" applyProtection="1">
      <protection locked="0"/>
    </xf>
    <xf numFmtId="2" fontId="0" fillId="0" borderId="0" xfId="0" applyNumberFormat="1" applyBorder="1" applyProtection="1">
      <protection locked="0"/>
    </xf>
    <xf numFmtId="4" fontId="10" fillId="0" borderId="34" xfId="0" quotePrefix="1" applyNumberFormat="1" applyFont="1" applyFill="1" applyBorder="1" applyAlignment="1" applyProtection="1">
      <alignment horizontal="left" wrapText="1"/>
      <protection locked="0"/>
    </xf>
    <xf numFmtId="4" fontId="10" fillId="0" borderId="32" xfId="2" applyNumberFormat="1" applyFont="1" applyFill="1" applyBorder="1" applyAlignment="1" applyProtection="1">
      <alignment wrapText="1"/>
      <protection locked="0"/>
    </xf>
    <xf numFmtId="4" fontId="2" fillId="0" borderId="29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Border="1" applyProtection="1">
      <protection locked="0"/>
    </xf>
    <xf numFmtId="0" fontId="2" fillId="0" borderId="19" xfId="0" applyFont="1" applyBorder="1" applyAlignment="1" applyProtection="1">
      <alignment horizontal="right"/>
      <protection locked="0"/>
    </xf>
    <xf numFmtId="0" fontId="0" fillId="0" borderId="20" xfId="0" applyBorder="1" applyProtection="1">
      <protection locked="0"/>
    </xf>
    <xf numFmtId="0" fontId="4" fillId="3" borderId="25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5" fillId="3" borderId="0" xfId="1" applyFill="1" applyBorder="1" applyAlignment="1" applyProtection="1">
      <alignment horizontal="right"/>
      <protection hidden="1"/>
    </xf>
    <xf numFmtId="0" fontId="14" fillId="3" borderId="10" xfId="0" applyFont="1" applyFill="1" applyBorder="1" applyAlignment="1" applyProtection="1">
      <alignment horizontal="right"/>
      <protection hidden="1"/>
    </xf>
    <xf numFmtId="0" fontId="12" fillId="3" borderId="0" xfId="0" applyFont="1" applyFill="1" applyBorder="1" applyAlignment="1" applyProtection="1">
      <alignment horizontal="left"/>
      <protection hidden="1"/>
    </xf>
    <xf numFmtId="1" fontId="2" fillId="3" borderId="8" xfId="0" applyNumberFormat="1" applyFont="1" applyFill="1" applyBorder="1" applyAlignment="1" applyProtection="1">
      <alignment horizontal="right"/>
      <protection hidden="1"/>
    </xf>
    <xf numFmtId="3" fontId="2" fillId="3" borderId="9" xfId="0" applyNumberFormat="1" applyFont="1" applyFill="1" applyBorder="1" applyAlignment="1" applyProtection="1">
      <alignment horizontal="right"/>
      <protection hidden="1"/>
    </xf>
    <xf numFmtId="0" fontId="2" fillId="3" borderId="19" xfId="0" applyFont="1" applyFill="1" applyBorder="1" applyAlignment="1" applyProtection="1">
      <alignment horizontal="right"/>
      <protection hidden="1"/>
    </xf>
    <xf numFmtId="0" fontId="2" fillId="3" borderId="28" xfId="0" applyFont="1" applyFill="1" applyBorder="1" applyProtection="1">
      <protection hidden="1"/>
    </xf>
    <xf numFmtId="0" fontId="7" fillId="3" borderId="1" xfId="0" applyFont="1" applyFill="1" applyBorder="1" applyProtection="1">
      <protection hidden="1"/>
    </xf>
    <xf numFmtId="0" fontId="2" fillId="3" borderId="1" xfId="0" applyFont="1" applyFill="1" applyBorder="1" applyProtection="1">
      <protection hidden="1"/>
    </xf>
    <xf numFmtId="0" fontId="0" fillId="3" borderId="12" xfId="0" applyFill="1" applyBorder="1" applyAlignment="1" applyProtection="1">
      <alignment horizontal="right"/>
      <protection hidden="1"/>
    </xf>
    <xf numFmtId="3" fontId="0" fillId="3" borderId="12" xfId="0" applyNumberFormat="1" applyFill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0" xfId="0" applyBorder="1" applyProtection="1">
      <protection hidden="1"/>
    </xf>
    <xf numFmtId="2" fontId="2" fillId="3" borderId="40" xfId="2" applyNumberFormat="1" applyFill="1" applyBorder="1" applyProtection="1">
      <protection hidden="1"/>
    </xf>
    <xf numFmtId="0" fontId="7" fillId="3" borderId="19" xfId="0" applyFont="1" applyFill="1" applyBorder="1" applyProtection="1">
      <protection hidden="1"/>
    </xf>
    <xf numFmtId="0" fontId="2" fillId="3" borderId="20" xfId="0" applyFont="1" applyFill="1" applyBorder="1" applyAlignment="1" applyProtection="1">
      <alignment horizontal="right"/>
      <protection hidden="1"/>
    </xf>
    <xf numFmtId="3" fontId="0" fillId="3" borderId="41" xfId="0" applyNumberFormat="1" applyFill="1" applyBorder="1" applyProtection="1">
      <protection hidden="1"/>
    </xf>
    <xf numFmtId="0" fontId="2" fillId="3" borderId="19" xfId="0" applyFont="1" applyFill="1" applyBorder="1" applyProtection="1">
      <protection hidden="1"/>
    </xf>
    <xf numFmtId="0" fontId="2" fillId="3" borderId="1" xfId="0" applyFont="1" applyFill="1" applyBorder="1" applyAlignment="1" applyProtection="1">
      <alignment horizontal="right"/>
      <protection hidden="1"/>
    </xf>
    <xf numFmtId="2" fontId="2" fillId="3" borderId="0" xfId="0" applyNumberFormat="1" applyFont="1" applyFill="1" applyBorder="1" applyAlignment="1" applyProtection="1">
      <alignment horizontal="right"/>
      <protection hidden="1"/>
    </xf>
    <xf numFmtId="3" fontId="2" fillId="3" borderId="10" xfId="0" applyNumberFormat="1" applyFont="1" applyFill="1" applyBorder="1" applyAlignment="1" applyProtection="1">
      <alignment horizontal="right"/>
      <protection hidden="1"/>
    </xf>
    <xf numFmtId="4" fontId="0" fillId="0" borderId="10" xfId="0" applyNumberFormat="1" applyBorder="1" applyProtection="1">
      <protection hidden="1"/>
    </xf>
    <xf numFmtId="4" fontId="0" fillId="0" borderId="21" xfId="0" applyNumberFormat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" fontId="0" fillId="0" borderId="0" xfId="0" applyNumberFormat="1" applyProtection="1">
      <protection hidden="1"/>
    </xf>
    <xf numFmtId="4" fontId="0" fillId="3" borderId="25" xfId="0" applyNumberFormat="1" applyFill="1" applyBorder="1" applyAlignment="1" applyProtection="1">
      <alignment horizontal="right"/>
      <protection hidden="1"/>
    </xf>
    <xf numFmtId="4" fontId="0" fillId="3" borderId="26" xfId="0" applyNumberFormat="1" applyFill="1" applyBorder="1" applyAlignment="1" applyProtection="1">
      <alignment horizontal="right"/>
      <protection hidden="1"/>
    </xf>
    <xf numFmtId="2" fontId="0" fillId="3" borderId="26" xfId="0" applyNumberFormat="1" applyFill="1" applyBorder="1" applyAlignment="1" applyProtection="1">
      <alignment horizontal="right"/>
      <protection hidden="1"/>
    </xf>
    <xf numFmtId="3" fontId="0" fillId="3" borderId="26" xfId="0" applyNumberFormat="1" applyFill="1" applyBorder="1" applyAlignment="1" applyProtection="1">
      <alignment horizontal="right"/>
      <protection hidden="1"/>
    </xf>
    <xf numFmtId="3" fontId="2" fillId="3" borderId="30" xfId="0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9" fontId="9" fillId="0" borderId="31" xfId="0" applyNumberFormat="1" applyFont="1" applyFill="1" applyBorder="1" applyAlignment="1" applyProtection="1">
      <alignment horizontal="right"/>
      <protection locked="0"/>
    </xf>
    <xf numFmtId="3" fontId="9" fillId="0" borderId="35" xfId="0" applyNumberFormat="1" applyFont="1" applyFill="1" applyBorder="1" applyAlignment="1" applyProtection="1">
      <alignment horizontal="right"/>
      <protection locked="0"/>
    </xf>
    <xf numFmtId="3" fontId="9" fillId="0" borderId="7" xfId="0" applyNumberFormat="1" applyFont="1" applyFill="1" applyBorder="1" applyAlignment="1" applyProtection="1">
      <alignment horizontal="right"/>
      <protection locked="0"/>
    </xf>
    <xf numFmtId="0" fontId="2" fillId="3" borderId="23" xfId="0" applyFont="1" applyFill="1" applyBorder="1" applyAlignment="1" applyProtection="1">
      <alignment horizontal="right"/>
      <protection hidden="1"/>
    </xf>
    <xf numFmtId="0" fontId="15" fillId="3" borderId="1" xfId="0" applyFont="1" applyFill="1" applyBorder="1" applyAlignment="1" applyProtection="1">
      <alignment horizontal="left"/>
      <protection hidden="1"/>
    </xf>
    <xf numFmtId="0" fontId="16" fillId="3" borderId="0" xfId="0" applyFont="1" applyFill="1" applyBorder="1" applyAlignment="1" applyProtection="1">
      <alignment horizontal="right"/>
      <protection hidden="1"/>
    </xf>
    <xf numFmtId="3" fontId="9" fillId="0" borderId="14" xfId="0" applyNumberFormat="1" applyFont="1" applyFill="1" applyBorder="1" applyAlignment="1" applyProtection="1">
      <alignment horizontal="right"/>
      <protection locked="0"/>
    </xf>
    <xf numFmtId="10" fontId="2" fillId="3" borderId="28" xfId="0" applyNumberFormat="1" applyFont="1" applyFill="1" applyBorder="1" applyAlignment="1" applyProtection="1">
      <alignment horizontal="left"/>
      <protection hidden="1"/>
    </xf>
    <xf numFmtId="0" fontId="0" fillId="3" borderId="5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10" fontId="2" fillId="3" borderId="42" xfId="0" applyNumberFormat="1" applyFont="1" applyFill="1" applyBorder="1" applyAlignment="1" applyProtection="1">
      <alignment horizontal="right"/>
      <protection hidden="1"/>
    </xf>
    <xf numFmtId="10" fontId="2" fillId="3" borderId="43" xfId="0" applyNumberFormat="1" applyFont="1" applyFill="1" applyBorder="1" applyAlignment="1" applyProtection="1">
      <alignment horizontal="right"/>
      <protection hidden="1"/>
    </xf>
    <xf numFmtId="0" fontId="2" fillId="3" borderId="43" xfId="0" applyFont="1" applyFill="1" applyBorder="1" applyAlignment="1" applyProtection="1">
      <alignment horizontal="right"/>
      <protection hidden="1"/>
    </xf>
    <xf numFmtId="10" fontId="2" fillId="3" borderId="44" xfId="0" applyNumberFormat="1" applyFont="1" applyFill="1" applyBorder="1" applyAlignment="1" applyProtection="1">
      <alignment horizontal="right"/>
      <protection hidden="1"/>
    </xf>
  </cellXfs>
  <cellStyles count="4">
    <cellStyle name="Hyperlink" xfId="1" builtinId="8"/>
    <cellStyle name="Normal 2" xfId="2" xr:uid="{00000000-0005-0000-0000-000002000000}"/>
    <cellStyle name="Normal 3" xfId="3" xr:uid="{00000000-0005-0000-0000-000003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43"/>
  <sheetViews>
    <sheetView showGridLines="0" tabSelected="1" showOutlineSymbols="0" topLeftCell="B1" zoomScale="120" zoomScaleNormal="120" workbookViewId="0">
      <selection activeCell="D2" sqref="D2"/>
    </sheetView>
  </sheetViews>
  <sheetFormatPr baseColWidth="10" defaultColWidth="9.1640625" defaultRowHeight="13"/>
  <cols>
    <col min="1" max="1" width="3" style="79" hidden="1" customWidth="1"/>
    <col min="2" max="2" width="28.33203125" style="111" customWidth="1"/>
    <col min="3" max="3" width="21.83203125" style="111" customWidth="1"/>
    <col min="4" max="4" width="23.6640625" style="104" customWidth="1"/>
    <col min="5" max="5" width="21.1640625" style="104" customWidth="1"/>
    <col min="6" max="6" width="20.83203125" style="104" customWidth="1"/>
    <col min="7" max="7" width="17.33203125" style="104" customWidth="1"/>
    <col min="8" max="8" width="21.6640625" style="104" customWidth="1"/>
    <col min="9" max="9" width="6" style="104" customWidth="1"/>
    <col min="10" max="10" width="6.33203125" style="79" customWidth="1"/>
    <col min="11" max="11" width="13" style="79" bestFit="1" customWidth="1"/>
    <col min="12" max="12" width="6.1640625" style="79" customWidth="1"/>
    <col min="13" max="13" width="33.5" style="79" customWidth="1"/>
    <col min="14" max="16384" width="9.1640625" style="79"/>
  </cols>
  <sheetData>
    <row r="1" spans="2:13" ht="15" customHeight="1" thickTop="1" thickBot="1">
      <c r="B1" s="78" t="s">
        <v>4</v>
      </c>
      <c r="C1" s="19"/>
      <c r="D1" s="20"/>
      <c r="E1" s="55" t="s">
        <v>26</v>
      </c>
      <c r="F1" s="55" t="s">
        <v>20</v>
      </c>
      <c r="G1" s="55"/>
      <c r="H1" s="57" t="s">
        <v>50</v>
      </c>
      <c r="I1" s="6">
        <f>IF(LOOKUP(1,L1:L17,J1:J17)&gt;0,LOOKUP(1,L1:L17,J1:J17)-1,LOOKUP(1,L1:L17,J1:J17))</f>
        <v>0</v>
      </c>
      <c r="J1" s="7">
        <v>0</v>
      </c>
      <c r="K1" s="8">
        <f>J1/M1</f>
        <v>0</v>
      </c>
      <c r="L1" s="9">
        <f>IF($D$7/$D$3=K1,1,"" )</f>
        <v>1</v>
      </c>
      <c r="M1" s="3">
        <f t="shared" ref="M1:M17" si="0">ROUNDUP(GAMMAINV($E$7,J1+1,1),2)</f>
        <v>1</v>
      </c>
    </row>
    <row r="2" spans="2:13" ht="15" customHeight="1" thickTop="1">
      <c r="B2" s="50" t="s">
        <v>21</v>
      </c>
      <c r="C2" s="21" t="s">
        <v>2</v>
      </c>
      <c r="D2" s="2">
        <v>1000000</v>
      </c>
      <c r="E2" s="80" t="s">
        <v>32</v>
      </c>
      <c r="F2" s="34"/>
      <c r="G2" s="81"/>
      <c r="H2" s="82"/>
      <c r="I2" s="10"/>
      <c r="J2" s="11">
        <v>1</v>
      </c>
      <c r="K2" s="12">
        <f t="shared" ref="K2:K3" si="1">J2/M2</f>
        <v>0.46728971962616828</v>
      </c>
      <c r="L2" s="13" t="str">
        <f t="shared" ref="L2:L17" si="2">IF(AND($D$7/$D$3&gt;K1,$D$7/$D$3&lt;K2),1,"")</f>
        <v/>
      </c>
      <c r="M2" s="4">
        <f t="shared" si="0"/>
        <v>2.1399999999999997</v>
      </c>
    </row>
    <row r="3" spans="2:13" ht="15" customHeight="1">
      <c r="B3" s="22"/>
      <c r="C3" s="23" t="s">
        <v>31</v>
      </c>
      <c r="D3" s="1">
        <v>10000</v>
      </c>
      <c r="E3" s="34"/>
      <c r="F3" s="34"/>
      <c r="G3" s="34"/>
      <c r="H3" s="82"/>
      <c r="I3" s="14"/>
      <c r="J3" s="11">
        <v>2</v>
      </c>
      <c r="K3" s="12">
        <f t="shared" si="1"/>
        <v>0.61538461538461542</v>
      </c>
      <c r="L3" s="13" t="str">
        <f t="shared" si="2"/>
        <v/>
      </c>
      <c r="M3" s="4">
        <f t="shared" si="0"/>
        <v>3.25</v>
      </c>
    </row>
    <row r="4" spans="2:13" ht="15" customHeight="1" thickBot="1">
      <c r="B4" s="22"/>
      <c r="C4" s="24" t="s">
        <v>42</v>
      </c>
      <c r="D4" s="1">
        <v>8000</v>
      </c>
      <c r="E4" s="83"/>
      <c r="F4" s="34"/>
      <c r="G4" s="34"/>
      <c r="H4" s="82"/>
      <c r="I4" s="14"/>
      <c r="J4" s="11">
        <v>3</v>
      </c>
      <c r="K4" s="12">
        <f t="shared" ref="K4:K11" si="3">J4/M4</f>
        <v>0.68965517241379315</v>
      </c>
      <c r="L4" s="13" t="str">
        <f t="shared" si="2"/>
        <v/>
      </c>
      <c r="M4" s="4">
        <f t="shared" si="0"/>
        <v>4.3499999999999996</v>
      </c>
    </row>
    <row r="5" spans="2:13" ht="15" customHeight="1" thickTop="1">
      <c r="B5" s="48" t="s">
        <v>22</v>
      </c>
      <c r="C5" s="62"/>
      <c r="D5" s="51"/>
      <c r="E5" s="26" t="s">
        <v>23</v>
      </c>
      <c r="F5" s="25" t="s">
        <v>3</v>
      </c>
      <c r="G5" s="27" t="s">
        <v>0</v>
      </c>
      <c r="H5" s="28" t="s">
        <v>1</v>
      </c>
      <c r="I5" s="14"/>
      <c r="J5" s="11">
        <v>4</v>
      </c>
      <c r="K5" s="12">
        <f t="shared" si="3"/>
        <v>0.73664825046040516</v>
      </c>
      <c r="L5" s="13" t="str">
        <f t="shared" si="2"/>
        <v/>
      </c>
      <c r="M5" s="4">
        <f t="shared" si="0"/>
        <v>5.43</v>
      </c>
    </row>
    <row r="6" spans="2:13" ht="15" customHeight="1">
      <c r="B6" s="116"/>
      <c r="C6" s="34"/>
      <c r="D6" s="115"/>
      <c r="E6" s="31">
        <f>1-EXP(-F6)</f>
        <v>0.95021293163213605</v>
      </c>
      <c r="F6" s="30">
        <v>3</v>
      </c>
      <c r="G6" s="32">
        <f>ROUNDUP($D$2/H6,0)</f>
        <v>375</v>
      </c>
      <c r="H6" s="33">
        <f>$D$4/F6</f>
        <v>2666.6666666666665</v>
      </c>
      <c r="I6" s="14"/>
      <c r="J6" s="11">
        <v>5</v>
      </c>
      <c r="K6" s="12">
        <f t="shared" si="3"/>
        <v>0.76923076923076927</v>
      </c>
      <c r="L6" s="13" t="str">
        <f t="shared" si="2"/>
        <v/>
      </c>
      <c r="M6" s="4">
        <f t="shared" si="0"/>
        <v>6.5</v>
      </c>
    </row>
    <row r="7" spans="2:13" ht="15" customHeight="1" thickBot="1">
      <c r="B7" s="54"/>
      <c r="C7" s="34" t="s">
        <v>43</v>
      </c>
      <c r="D7" s="59">
        <v>0</v>
      </c>
      <c r="E7" s="112">
        <v>0.63</v>
      </c>
      <c r="F7" s="35">
        <f>ROUNDUP(_xlfn.GAMMA.INV(E7,1+D8,1),2)</f>
        <v>1</v>
      </c>
      <c r="G7" s="84">
        <f>ROUNDUP(D2/H7,0)</f>
        <v>125</v>
      </c>
      <c r="H7" s="85">
        <f>D4/F7</f>
        <v>8000</v>
      </c>
      <c r="I7" s="14"/>
      <c r="J7" s="11">
        <v>6</v>
      </c>
      <c r="K7" s="12">
        <f t="shared" si="3"/>
        <v>0.7926023778071335</v>
      </c>
      <c r="L7" s="13" t="str">
        <f t="shared" si="2"/>
        <v/>
      </c>
      <c r="M7" s="4">
        <f t="shared" si="0"/>
        <v>7.5699999999999994</v>
      </c>
    </row>
    <row r="8" spans="2:13" ht="15" customHeight="1" thickTop="1" thickBot="1">
      <c r="B8" s="54"/>
      <c r="C8" s="86" t="s">
        <v>24</v>
      </c>
      <c r="D8" s="60">
        <f>IF(D7&gt;0,(INDEX(M1:M17,I1+1)-I1*(INDEX(M1:M17,I1+2)-INDEX(M1:M17,I1+1)))/(D3/D7-(INDEX(M1:M17,I1+2)-INDEX(M1:M17,I1+1))),J1)</f>
        <v>0</v>
      </c>
      <c r="E8" s="58" t="str">
        <f>IF(D7&gt;0,"&lt;95% only when D7=0","")</f>
        <v/>
      </c>
      <c r="F8" s="56"/>
      <c r="G8" s="56"/>
      <c r="H8" s="57"/>
      <c r="I8" s="14"/>
      <c r="J8" s="11">
        <v>7</v>
      </c>
      <c r="K8" s="12">
        <f t="shared" si="3"/>
        <v>0.81112398609501746</v>
      </c>
      <c r="L8" s="13" t="str">
        <f t="shared" si="2"/>
        <v/>
      </c>
      <c r="M8" s="4">
        <f t="shared" si="0"/>
        <v>8.629999999999999</v>
      </c>
    </row>
    <row r="9" spans="2:13" ht="15" customHeight="1" thickTop="1">
      <c r="B9" s="48" t="s">
        <v>25</v>
      </c>
      <c r="C9" s="34" t="s">
        <v>11</v>
      </c>
      <c r="D9" s="113">
        <f>1000000</f>
        <v>1000000</v>
      </c>
      <c r="E9" s="40" t="s">
        <v>33</v>
      </c>
      <c r="F9" s="38"/>
      <c r="G9" s="34"/>
      <c r="H9" s="29"/>
      <c r="I9" s="14"/>
      <c r="J9" s="11">
        <v>8</v>
      </c>
      <c r="K9" s="12">
        <f t="shared" si="3"/>
        <v>0.82644628099173556</v>
      </c>
      <c r="L9" s="13" t="str">
        <f t="shared" si="2"/>
        <v/>
      </c>
      <c r="M9" s="4">
        <f t="shared" si="0"/>
        <v>9.68</v>
      </c>
    </row>
    <row r="10" spans="2:13" ht="15" customHeight="1">
      <c r="B10" s="36"/>
      <c r="C10" s="34" t="s">
        <v>12</v>
      </c>
      <c r="D10" s="114">
        <v>594</v>
      </c>
      <c r="E10" s="37"/>
      <c r="F10" s="40"/>
      <c r="G10" s="34"/>
      <c r="H10" s="29"/>
      <c r="I10" s="14"/>
      <c r="J10" s="11">
        <v>9</v>
      </c>
      <c r="K10" s="12">
        <f t="shared" si="3"/>
        <v>0.83798882681564246</v>
      </c>
      <c r="L10" s="13" t="str">
        <f t="shared" si="2"/>
        <v/>
      </c>
      <c r="M10" s="4">
        <f t="shared" si="0"/>
        <v>10.74</v>
      </c>
    </row>
    <row r="11" spans="2:13" ht="15" customHeight="1">
      <c r="B11" s="36"/>
      <c r="C11" s="34" t="s">
        <v>10</v>
      </c>
      <c r="D11" s="41">
        <f>D9/D10</f>
        <v>1683.5016835016836</v>
      </c>
      <c r="E11" s="39" t="s">
        <v>34</v>
      </c>
      <c r="F11" s="42"/>
      <c r="G11" s="34"/>
      <c r="H11" s="29"/>
      <c r="I11" s="14"/>
      <c r="J11" s="11">
        <v>10</v>
      </c>
      <c r="K11" s="12">
        <f t="shared" si="3"/>
        <v>0.8481764206955047</v>
      </c>
      <c r="L11" s="13" t="str">
        <f t="shared" si="2"/>
        <v/>
      </c>
      <c r="M11" s="4">
        <f t="shared" si="0"/>
        <v>11.79</v>
      </c>
    </row>
    <row r="12" spans="2:13" ht="15" customHeight="1">
      <c r="B12" s="36"/>
      <c r="C12" s="34" t="s">
        <v>38</v>
      </c>
      <c r="D12" s="65">
        <v>0.95</v>
      </c>
      <c r="E12" s="39" t="s">
        <v>41</v>
      </c>
      <c r="F12" s="42"/>
      <c r="G12" s="34"/>
      <c r="H12" s="29"/>
      <c r="I12" s="14"/>
      <c r="J12" s="11">
        <v>11</v>
      </c>
      <c r="K12" s="12">
        <f t="shared" ref="K12:K17" si="4">J12/M12</f>
        <v>0.85669781931464173</v>
      </c>
      <c r="L12" s="13" t="str">
        <f t="shared" si="2"/>
        <v/>
      </c>
      <c r="M12" s="4">
        <f t="shared" si="0"/>
        <v>12.84</v>
      </c>
    </row>
    <row r="13" spans="2:13" ht="15" customHeight="1" thickBot="1">
      <c r="B13" s="36"/>
      <c r="C13" s="34" t="s">
        <v>39</v>
      </c>
      <c r="D13" s="61">
        <f>D11*_xlfn.GAMMA.INV(E7,1,1)/_xlfn.GAMMA.INV(D12,1,1)</f>
        <v>558.73663704067644</v>
      </c>
      <c r="E13" s="39"/>
      <c r="F13" s="42"/>
      <c r="G13" s="34"/>
      <c r="H13" s="29"/>
      <c r="I13" s="14"/>
      <c r="J13" s="11">
        <v>12</v>
      </c>
      <c r="K13" s="12">
        <f t="shared" si="4"/>
        <v>0.86393088552915764</v>
      </c>
      <c r="L13" s="13" t="str">
        <f t="shared" si="2"/>
        <v/>
      </c>
      <c r="M13" s="4">
        <f t="shared" si="0"/>
        <v>13.89</v>
      </c>
    </row>
    <row r="14" spans="2:13" ht="14" thickTop="1">
      <c r="B14" s="48" t="s">
        <v>27</v>
      </c>
      <c r="C14" s="62" t="s">
        <v>28</v>
      </c>
      <c r="D14" s="63">
        <f>IF(E42&gt;0,GAMMAINV(1-E7,E42,D11),0)</f>
        <v>0</v>
      </c>
      <c r="E14" s="87"/>
      <c r="F14" s="64"/>
      <c r="G14" s="62"/>
      <c r="H14" s="122">
        <f>D14/D2</f>
        <v>0</v>
      </c>
      <c r="I14" s="14"/>
      <c r="J14" s="11">
        <v>13</v>
      </c>
      <c r="K14" s="12">
        <f t="shared" si="4"/>
        <v>0.87073007367716004</v>
      </c>
      <c r="L14" s="13" t="str">
        <f t="shared" si="2"/>
        <v/>
      </c>
      <c r="M14" s="4">
        <f t="shared" si="0"/>
        <v>14.93</v>
      </c>
    </row>
    <row r="15" spans="2:13">
      <c r="B15" s="88"/>
      <c r="C15" s="34" t="s">
        <v>29</v>
      </c>
      <c r="D15" s="44">
        <f>F42</f>
        <v>0</v>
      </c>
      <c r="E15" s="39"/>
      <c r="F15" s="40"/>
      <c r="G15" s="34"/>
      <c r="H15" s="123">
        <f>D15/D2</f>
        <v>0</v>
      </c>
      <c r="I15" s="14"/>
      <c r="J15" s="11">
        <v>14</v>
      </c>
      <c r="K15" s="12">
        <f t="shared" si="4"/>
        <v>0.87609511889862324</v>
      </c>
      <c r="L15" s="13" t="str">
        <f t="shared" si="2"/>
        <v/>
      </c>
      <c r="M15" s="4">
        <f t="shared" si="0"/>
        <v>15.98</v>
      </c>
    </row>
    <row r="16" spans="2:13">
      <c r="B16" s="88"/>
      <c r="C16" s="34" t="s">
        <v>30</v>
      </c>
      <c r="D16" s="43">
        <f>H42</f>
        <v>1676.2099111220293</v>
      </c>
      <c r="E16" s="89"/>
      <c r="F16" s="40"/>
      <c r="G16" s="34"/>
      <c r="H16" s="123">
        <f>D16/D2</f>
        <v>1.6762099111220293E-3</v>
      </c>
      <c r="I16" s="14"/>
      <c r="J16" s="11">
        <v>15</v>
      </c>
      <c r="K16" s="12">
        <f t="shared" si="4"/>
        <v>0.88131609870740291</v>
      </c>
      <c r="L16" s="13" t="str">
        <f t="shared" si="2"/>
        <v/>
      </c>
      <c r="M16" s="4">
        <f t="shared" si="0"/>
        <v>17.020000000000003</v>
      </c>
    </row>
    <row r="17" spans="1:13" ht="14" thickBot="1">
      <c r="B17" s="88"/>
      <c r="C17" s="34" t="s">
        <v>9</v>
      </c>
      <c r="D17" s="90" t="str">
        <f>IF(D16&gt;D3,"no","yes")</f>
        <v>yes</v>
      </c>
      <c r="E17" s="89" t="s">
        <v>35</v>
      </c>
      <c r="F17" s="40"/>
      <c r="G17" s="34"/>
      <c r="H17" s="124"/>
      <c r="I17" s="15"/>
      <c r="J17" s="16">
        <v>16</v>
      </c>
      <c r="K17" s="17">
        <f t="shared" si="4"/>
        <v>0.88593576965669973</v>
      </c>
      <c r="L17" s="18" t="str">
        <f t="shared" si="2"/>
        <v/>
      </c>
      <c r="M17" s="5">
        <f t="shared" si="0"/>
        <v>18.060000000000002</v>
      </c>
    </row>
    <row r="18" spans="1:13" ht="14" thickTop="1">
      <c r="B18" s="88"/>
      <c r="C18" s="34" t="s">
        <v>13</v>
      </c>
      <c r="D18" s="91">
        <f>D16-D15</f>
        <v>1676.2099111220293</v>
      </c>
      <c r="E18" s="89" t="s">
        <v>36</v>
      </c>
      <c r="F18" s="40"/>
      <c r="G18" s="34"/>
      <c r="H18" s="123">
        <f>D18/D2</f>
        <v>1.6762099111220293E-3</v>
      </c>
      <c r="I18" s="66"/>
      <c r="J18" s="67" t="s">
        <v>40</v>
      </c>
      <c r="K18" s="67"/>
      <c r="L18" s="67"/>
      <c r="M18" s="92"/>
    </row>
    <row r="19" spans="1:13">
      <c r="B19" s="88"/>
      <c r="C19" s="34" t="s">
        <v>5</v>
      </c>
      <c r="D19" s="45" t="str">
        <f>IF(D16-D15&gt;D3,"no","yes")</f>
        <v>yes</v>
      </c>
      <c r="E19" s="89" t="s">
        <v>37</v>
      </c>
      <c r="F19" s="40"/>
      <c r="G19" s="80"/>
      <c r="H19" s="124"/>
      <c r="I19" s="68"/>
      <c r="J19" s="69"/>
      <c r="K19" s="69"/>
      <c r="L19" s="69"/>
      <c r="M19" s="93"/>
    </row>
    <row r="20" spans="1:13" ht="14" thickBot="1">
      <c r="B20" s="88"/>
      <c r="C20" s="34" t="s">
        <v>6</v>
      </c>
      <c r="D20" s="44">
        <f>IF(D17="yes",0,MAX(D15,D16-D3))</f>
        <v>0</v>
      </c>
      <c r="E20" s="89"/>
      <c r="F20" s="40"/>
      <c r="G20" s="80"/>
      <c r="H20" s="123">
        <f>D20/D2</f>
        <v>0</v>
      </c>
      <c r="I20" s="68"/>
      <c r="J20" s="69"/>
      <c r="K20" s="69"/>
      <c r="L20" s="69"/>
      <c r="M20" s="93"/>
    </row>
    <row r="21" spans="1:13" ht="14" thickTop="1">
      <c r="B21" s="48" t="s">
        <v>46</v>
      </c>
      <c r="C21" s="62" t="s">
        <v>14</v>
      </c>
      <c r="D21" s="118">
        <v>112</v>
      </c>
      <c r="E21" s="119" t="s">
        <v>16</v>
      </c>
      <c r="F21" s="64"/>
      <c r="G21" s="62"/>
      <c r="H21" s="124"/>
      <c r="I21" s="68"/>
      <c r="J21" s="69"/>
      <c r="K21" s="69"/>
      <c r="L21" s="69"/>
      <c r="M21" s="93"/>
    </row>
    <row r="22" spans="1:13">
      <c r="B22" s="36"/>
      <c r="C22" s="34" t="s">
        <v>44</v>
      </c>
      <c r="D22" s="94">
        <f>E42*D21/(D9/D13)</f>
        <v>0</v>
      </c>
      <c r="E22" s="39"/>
      <c r="F22" s="40"/>
      <c r="G22" s="34"/>
      <c r="H22" s="124"/>
      <c r="I22" s="68"/>
      <c r="J22" s="69"/>
      <c r="L22" s="69"/>
      <c r="M22" s="93"/>
    </row>
    <row r="23" spans="1:13" ht="14" thickBot="1">
      <c r="B23" s="95"/>
      <c r="C23" s="96" t="s">
        <v>15</v>
      </c>
      <c r="D23" s="97">
        <f>_xlfn.GAMMA.INV(D12,1+D22+E42,D9/(D9/D13+D21))-D15</f>
        <v>1575.2486717216357</v>
      </c>
      <c r="E23" s="98" t="str">
        <f>IF(D23&gt;D3,"expand more","sufficient")</f>
        <v>sufficient</v>
      </c>
      <c r="F23" s="46"/>
      <c r="G23" s="96"/>
      <c r="H23" s="125">
        <f>D23/D2</f>
        <v>1.5752486717216356E-3</v>
      </c>
      <c r="I23" s="68"/>
      <c r="J23" s="69"/>
      <c r="L23" s="69"/>
      <c r="M23" s="93"/>
    </row>
    <row r="24" spans="1:13" ht="15" thickTop="1" thickBot="1">
      <c r="B24" s="37" t="s">
        <v>45</v>
      </c>
      <c r="C24" s="117"/>
      <c r="D24" s="70">
        <v>1</v>
      </c>
      <c r="E24" s="37"/>
      <c r="F24" s="53"/>
      <c r="G24" s="53"/>
      <c r="H24" s="52"/>
      <c r="I24" s="68"/>
      <c r="J24" s="69"/>
      <c r="L24" s="69"/>
      <c r="M24" s="93"/>
    </row>
    <row r="25" spans="1:13" ht="14" thickTop="1">
      <c r="B25" s="48" t="s">
        <v>47</v>
      </c>
      <c r="C25" s="49"/>
      <c r="D25" s="49"/>
      <c r="E25" s="49"/>
      <c r="F25" s="120" t="s">
        <v>49</v>
      </c>
      <c r="G25" s="34" t="s">
        <v>18</v>
      </c>
      <c r="H25" s="29" t="s">
        <v>30</v>
      </c>
      <c r="I25" s="68"/>
      <c r="J25" s="69"/>
      <c r="K25" s="71"/>
      <c r="L25" s="69"/>
      <c r="M25" s="93"/>
    </row>
    <row r="26" spans="1:13">
      <c r="B26" s="99" t="s">
        <v>7</v>
      </c>
      <c r="C26" s="34" t="s">
        <v>8</v>
      </c>
      <c r="D26" s="34" t="s">
        <v>17</v>
      </c>
      <c r="E26" s="34" t="s">
        <v>19</v>
      </c>
      <c r="F26" s="121" t="s">
        <v>48</v>
      </c>
      <c r="G26" s="100">
        <f>ROUNDUP(GAMMAINV($D$12,1,1),2)</f>
        <v>3</v>
      </c>
      <c r="H26" s="101">
        <f>G26*$D$13</f>
        <v>1676.2099111220293</v>
      </c>
      <c r="I26" s="68"/>
      <c r="J26" s="69"/>
      <c r="K26" s="69"/>
      <c r="L26" s="69"/>
      <c r="M26" s="93"/>
    </row>
    <row r="27" spans="1:13" ht="16">
      <c r="A27" s="79">
        <v>1</v>
      </c>
      <c r="B27" s="72"/>
      <c r="C27" s="73"/>
      <c r="D27" s="74">
        <f>B27-C27</f>
        <v>0</v>
      </c>
      <c r="E27" s="100">
        <f>IF(D27&gt;0,D27/B27,0)</f>
        <v>0</v>
      </c>
      <c r="F27" s="47">
        <f t="shared" ref="F27:F41" si="5">IF(B27&lt;$D$24*$D$13,E27*$D$13,D27)</f>
        <v>0</v>
      </c>
      <c r="G27" s="100">
        <f>IF(B27&gt;C27,E27*ROUNDUP((GAMMAINV($D$12,1+A27,1)-GAMMAINV($D$12,A27,1)),2),0)</f>
        <v>0</v>
      </c>
      <c r="H27" s="101">
        <f t="shared" ref="H27:H41" si="6">IF(B27&lt;$D$24*$D$13,G27*$D$13,D27)</f>
        <v>0</v>
      </c>
      <c r="I27" s="68"/>
      <c r="J27" s="69"/>
      <c r="K27" s="75"/>
      <c r="L27" s="69"/>
      <c r="M27" s="93"/>
    </row>
    <row r="28" spans="1:13" ht="16">
      <c r="A28" s="79">
        <f>A27+1</f>
        <v>2</v>
      </c>
      <c r="B28" s="72"/>
      <c r="C28" s="73"/>
      <c r="D28" s="74">
        <f t="shared" ref="D28:D41" si="7">B28-C28</f>
        <v>0</v>
      </c>
      <c r="E28" s="100">
        <f t="shared" ref="E28:E41" si="8">IF(D28&gt;0,D28/B28,0)</f>
        <v>0</v>
      </c>
      <c r="F28" s="47">
        <f t="shared" si="5"/>
        <v>0</v>
      </c>
      <c r="G28" s="100">
        <f t="shared" ref="G28:G41" si="9">IF(B28&gt;C28,E28*ROUNDUP((GAMMAINV($D$12,1+A28,1)-GAMMAINV($D$12,A28,1)),2),0)</f>
        <v>0</v>
      </c>
      <c r="H28" s="101">
        <f t="shared" si="6"/>
        <v>0</v>
      </c>
      <c r="I28" s="68"/>
      <c r="J28" s="69"/>
      <c r="K28" s="69"/>
      <c r="L28" s="69"/>
      <c r="M28" s="93"/>
    </row>
    <row r="29" spans="1:13" ht="16">
      <c r="A29" s="79">
        <f t="shared" ref="A29:A41" si="10">A28+1</f>
        <v>3</v>
      </c>
      <c r="B29" s="72"/>
      <c r="C29" s="73"/>
      <c r="D29" s="74">
        <f t="shared" si="7"/>
        <v>0</v>
      </c>
      <c r="E29" s="100">
        <f t="shared" si="8"/>
        <v>0</v>
      </c>
      <c r="F29" s="47">
        <f t="shared" si="5"/>
        <v>0</v>
      </c>
      <c r="G29" s="100">
        <f t="shared" si="9"/>
        <v>0</v>
      </c>
      <c r="H29" s="101">
        <f t="shared" si="6"/>
        <v>0</v>
      </c>
      <c r="I29" s="68"/>
      <c r="J29" s="69"/>
      <c r="K29" s="69"/>
      <c r="L29" s="69"/>
      <c r="M29" s="102"/>
    </row>
    <row r="30" spans="1:13" ht="16">
      <c r="A30" s="79">
        <f t="shared" si="10"/>
        <v>4</v>
      </c>
      <c r="B30" s="72"/>
      <c r="C30" s="73"/>
      <c r="D30" s="74">
        <f t="shared" si="7"/>
        <v>0</v>
      </c>
      <c r="E30" s="100">
        <f t="shared" si="8"/>
        <v>0</v>
      </c>
      <c r="F30" s="47">
        <f t="shared" si="5"/>
        <v>0</v>
      </c>
      <c r="G30" s="100">
        <f t="shared" si="9"/>
        <v>0</v>
      </c>
      <c r="H30" s="101">
        <f t="shared" si="6"/>
        <v>0</v>
      </c>
      <c r="I30" s="68"/>
      <c r="J30" s="69"/>
      <c r="K30" s="69"/>
      <c r="L30" s="69"/>
      <c r="M30" s="102"/>
    </row>
    <row r="31" spans="1:13" ht="16">
      <c r="A31" s="79">
        <f t="shared" si="10"/>
        <v>5</v>
      </c>
      <c r="B31" s="72"/>
      <c r="C31" s="73"/>
      <c r="D31" s="74">
        <f t="shared" si="7"/>
        <v>0</v>
      </c>
      <c r="E31" s="100">
        <f t="shared" si="8"/>
        <v>0</v>
      </c>
      <c r="F31" s="47">
        <f t="shared" si="5"/>
        <v>0</v>
      </c>
      <c r="G31" s="100">
        <f t="shared" si="9"/>
        <v>0</v>
      </c>
      <c r="H31" s="101">
        <f t="shared" si="6"/>
        <v>0</v>
      </c>
      <c r="I31" s="68"/>
      <c r="J31" s="69"/>
      <c r="K31" s="69"/>
      <c r="L31" s="69"/>
      <c r="M31" s="102"/>
    </row>
    <row r="32" spans="1:13" ht="17" thickBot="1">
      <c r="A32" s="79">
        <f t="shared" si="10"/>
        <v>6</v>
      </c>
      <c r="B32" s="72"/>
      <c r="C32" s="73"/>
      <c r="D32" s="74">
        <f t="shared" si="7"/>
        <v>0</v>
      </c>
      <c r="E32" s="100">
        <f t="shared" si="8"/>
        <v>0</v>
      </c>
      <c r="F32" s="47">
        <f t="shared" si="5"/>
        <v>0</v>
      </c>
      <c r="G32" s="100">
        <f t="shared" si="9"/>
        <v>0</v>
      </c>
      <c r="H32" s="101">
        <f t="shared" si="6"/>
        <v>0</v>
      </c>
      <c r="I32" s="76"/>
      <c r="J32" s="77"/>
      <c r="K32" s="77"/>
      <c r="L32" s="77"/>
      <c r="M32" s="103"/>
    </row>
    <row r="33" spans="1:13" ht="17" thickTop="1">
      <c r="A33" s="79">
        <f t="shared" si="10"/>
        <v>7</v>
      </c>
      <c r="B33" s="72"/>
      <c r="C33" s="73"/>
      <c r="D33" s="74">
        <f t="shared" si="7"/>
        <v>0</v>
      </c>
      <c r="E33" s="100">
        <f t="shared" si="8"/>
        <v>0</v>
      </c>
      <c r="F33" s="47">
        <f t="shared" si="5"/>
        <v>0</v>
      </c>
      <c r="G33" s="100">
        <f t="shared" si="9"/>
        <v>0</v>
      </c>
      <c r="H33" s="101">
        <f t="shared" si="6"/>
        <v>0</v>
      </c>
      <c r="M33" s="105"/>
    </row>
    <row r="34" spans="1:13" ht="16">
      <c r="A34" s="79">
        <f t="shared" si="10"/>
        <v>8</v>
      </c>
      <c r="B34" s="72"/>
      <c r="C34" s="73"/>
      <c r="D34" s="74">
        <f t="shared" si="7"/>
        <v>0</v>
      </c>
      <c r="E34" s="100">
        <f t="shared" si="8"/>
        <v>0</v>
      </c>
      <c r="F34" s="47">
        <f t="shared" si="5"/>
        <v>0</v>
      </c>
      <c r="G34" s="100">
        <f t="shared" si="9"/>
        <v>0</v>
      </c>
      <c r="H34" s="101">
        <f t="shared" si="6"/>
        <v>0</v>
      </c>
      <c r="M34" s="105"/>
    </row>
    <row r="35" spans="1:13" ht="16">
      <c r="A35" s="79">
        <f t="shared" si="10"/>
        <v>9</v>
      </c>
      <c r="B35" s="72"/>
      <c r="C35" s="73"/>
      <c r="D35" s="74">
        <f t="shared" si="7"/>
        <v>0</v>
      </c>
      <c r="E35" s="100">
        <f t="shared" si="8"/>
        <v>0</v>
      </c>
      <c r="F35" s="47">
        <f t="shared" si="5"/>
        <v>0</v>
      </c>
      <c r="G35" s="100">
        <f t="shared" si="9"/>
        <v>0</v>
      </c>
      <c r="H35" s="101">
        <f t="shared" si="6"/>
        <v>0</v>
      </c>
      <c r="M35" s="105"/>
    </row>
    <row r="36" spans="1:13" ht="16">
      <c r="A36" s="79">
        <f t="shared" si="10"/>
        <v>10</v>
      </c>
      <c r="B36" s="72"/>
      <c r="C36" s="73"/>
      <c r="D36" s="74">
        <f t="shared" si="7"/>
        <v>0</v>
      </c>
      <c r="E36" s="100">
        <f t="shared" si="8"/>
        <v>0</v>
      </c>
      <c r="F36" s="47">
        <f t="shared" si="5"/>
        <v>0</v>
      </c>
      <c r="G36" s="100">
        <f t="shared" si="9"/>
        <v>0</v>
      </c>
      <c r="H36" s="101">
        <f t="shared" si="6"/>
        <v>0</v>
      </c>
      <c r="M36" s="105"/>
    </row>
    <row r="37" spans="1:13" ht="16">
      <c r="A37" s="79">
        <f t="shared" si="10"/>
        <v>11</v>
      </c>
      <c r="B37" s="72"/>
      <c r="C37" s="73"/>
      <c r="D37" s="74">
        <f t="shared" si="7"/>
        <v>0</v>
      </c>
      <c r="E37" s="100">
        <f t="shared" si="8"/>
        <v>0</v>
      </c>
      <c r="F37" s="47">
        <f t="shared" si="5"/>
        <v>0</v>
      </c>
      <c r="G37" s="100">
        <f t="shared" si="9"/>
        <v>0</v>
      </c>
      <c r="H37" s="101">
        <f t="shared" si="6"/>
        <v>0</v>
      </c>
      <c r="M37" s="105"/>
    </row>
    <row r="38" spans="1:13" ht="16">
      <c r="A38" s="79">
        <f t="shared" si="10"/>
        <v>12</v>
      </c>
      <c r="B38" s="72"/>
      <c r="C38" s="73"/>
      <c r="D38" s="74">
        <f t="shared" si="7"/>
        <v>0</v>
      </c>
      <c r="E38" s="100">
        <f t="shared" si="8"/>
        <v>0</v>
      </c>
      <c r="F38" s="47">
        <f t="shared" si="5"/>
        <v>0</v>
      </c>
      <c r="G38" s="100">
        <f t="shared" si="9"/>
        <v>0</v>
      </c>
      <c r="H38" s="101">
        <f t="shared" si="6"/>
        <v>0</v>
      </c>
      <c r="M38" s="105"/>
    </row>
    <row r="39" spans="1:13" ht="16">
      <c r="A39" s="79">
        <f t="shared" si="10"/>
        <v>13</v>
      </c>
      <c r="B39" s="72"/>
      <c r="C39" s="73"/>
      <c r="D39" s="74">
        <f t="shared" si="7"/>
        <v>0</v>
      </c>
      <c r="E39" s="100">
        <f t="shared" si="8"/>
        <v>0</v>
      </c>
      <c r="F39" s="47">
        <f t="shared" si="5"/>
        <v>0</v>
      </c>
      <c r="G39" s="100">
        <f t="shared" si="9"/>
        <v>0</v>
      </c>
      <c r="H39" s="101">
        <f t="shared" si="6"/>
        <v>0</v>
      </c>
      <c r="M39" s="105"/>
    </row>
    <row r="40" spans="1:13" ht="16">
      <c r="A40" s="79">
        <f t="shared" si="10"/>
        <v>14</v>
      </c>
      <c r="B40" s="72"/>
      <c r="C40" s="73"/>
      <c r="D40" s="74">
        <f t="shared" si="7"/>
        <v>0</v>
      </c>
      <c r="E40" s="100">
        <f t="shared" si="8"/>
        <v>0</v>
      </c>
      <c r="F40" s="47">
        <f t="shared" si="5"/>
        <v>0</v>
      </c>
      <c r="G40" s="100">
        <f t="shared" si="9"/>
        <v>0</v>
      </c>
      <c r="H40" s="101">
        <f t="shared" si="6"/>
        <v>0</v>
      </c>
      <c r="M40" s="105"/>
    </row>
    <row r="41" spans="1:13" ht="17" thickBot="1">
      <c r="A41" s="79">
        <f t="shared" si="10"/>
        <v>15</v>
      </c>
      <c r="B41" s="72"/>
      <c r="C41" s="73"/>
      <c r="D41" s="74">
        <f t="shared" si="7"/>
        <v>0</v>
      </c>
      <c r="E41" s="100">
        <f t="shared" si="8"/>
        <v>0</v>
      </c>
      <c r="F41" s="47">
        <f t="shared" si="5"/>
        <v>0</v>
      </c>
      <c r="G41" s="100">
        <f t="shared" si="9"/>
        <v>0</v>
      </c>
      <c r="H41" s="101">
        <f t="shared" si="6"/>
        <v>0</v>
      </c>
      <c r="M41" s="105"/>
    </row>
    <row r="42" spans="1:13" ht="15" thickTop="1" thickBot="1">
      <c r="B42" s="106">
        <f>SUM(B27:B41)</f>
        <v>0</v>
      </c>
      <c r="C42" s="107">
        <f>SUM(C27:C41)</f>
        <v>0</v>
      </c>
      <c r="D42" s="107">
        <f>SUM(D27:D41)</f>
        <v>0</v>
      </c>
      <c r="E42" s="108">
        <f>SUM(E27:E41)</f>
        <v>0</v>
      </c>
      <c r="F42" s="109">
        <f>SUM(F27:F41)</f>
        <v>0</v>
      </c>
      <c r="G42" s="109"/>
      <c r="H42" s="110">
        <f>SUM(H26:H41)</f>
        <v>1676.2099111220293</v>
      </c>
      <c r="M42" s="105"/>
    </row>
    <row r="43" spans="1:13" ht="14" thickTop="1">
      <c r="M43" s="105"/>
    </row>
  </sheetData>
  <sheetProtection algorithmName="SHA-512" hashValue="a5RRLocrhotI4TAFue9nsLOhMO3Ef87a4Fl47706SCdVXXUluzBv4+e1stGvGPHE0GEMJTpmwd86rG1fJKxgXw==" saltValue="KLWYXPft9isgt35ZCbh4yw==" spinCount="100000" sheet="1" objects="1" scenarios="1" formatColumns="0" selectLockedCells="1"/>
  <dataConsolidate/>
  <phoneticPr fontId="3" type="noConversion"/>
  <dataValidations count="1">
    <dataValidation type="list" allowBlank="1" showInputMessage="1" showErrorMessage="1" sqref="D24" xr:uid="{00000000-0002-0000-0000-000000000000}">
      <formula1>$H$2:$H$3</formula1>
    </dataValidation>
  </dataValidations>
  <printOptions gridLinesSet="0"/>
  <pageMargins left="0.75" right="0.75" top="1" bottom="1" header="0.5" footer="0.5"/>
  <pageSetup paperSize="9" orientation="portrait" horizontalDpi="4294967292" verticalDpi="4294967292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SMart Audit Sampling Help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European Micro Support Center A</dc:creator>
  <dc:description>Smash v.02 documenten</dc:description>
  <cp:lastModifiedBy>Microsoft Office-gebruiker</cp:lastModifiedBy>
  <cp:lastPrinted>2005-08-05T07:21:10Z</cp:lastPrinted>
  <dcterms:created xsi:type="dcterms:W3CDTF">1999-01-06T09:15:33Z</dcterms:created>
  <dcterms:modified xsi:type="dcterms:W3CDTF">2020-12-09T15:10:03Z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 of receiving or sending">
    <vt:filetime>2003-01-28T12:00:00Z</vt:filetime>
  </property>
</Properties>
</file>